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ek0X+S6W2ga/FZybILJ0l2K88V90snVp5gsVgFhcuGILlJxJ70vrz+xnvmbKeVCMkPL97Q4rt1Kw+p9MMb39Qw==" workbookSaltValue="IjGNJi4Lx6bR6+lN/KWT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F28" i="2" l="1"/>
  <c r="F16" i="11"/>
  <c r="AQ16" i="11" s="1"/>
  <c r="BD9" i="8"/>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<sst xmlns="http://schemas.openxmlformats.org/spreadsheetml/2006/main" count="2668" uniqueCount="1193">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</sst>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DkGZVzn5Uh7nByM39fYXLk10jWpSDodroJKnvAPZHxn5ZuGVQEIwC8hTLfnlkrJfyQbBOxxBEkzJwcq27fd3Q==" saltValue="ixioAeFOX/UDRraTJRYH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22.92543021032505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117</v>
      </c>
      <c r="D10" s="239">
        <f>IF(ISNUMBER(Datos!I10),Datos!I10," - ")</f>
        <v>117</v>
      </c>
      <c r="E10" s="240">
        <f>IF(ISNUMBER(Datos!J10),Datos!J10," - ")</f>
        <v>33</v>
      </c>
      <c r="F10" s="240">
        <f>IF(ISNUMBER(Datos!K10),Datos!K10," - ")</f>
        <v>19</v>
      </c>
      <c r="G10" s="1390" t="str">
        <f>IF(Datos!E10&lt;&gt;"",Datos!E10,Datos!D10)</f>
        <v>37</v>
      </c>
      <c r="H10" s="241">
        <f>IF(ISNUMBER(Datos!L10),Datos!L10," - ")</f>
        <v>131</v>
      </c>
      <c r="I10" s="1400" t="str">
        <f>IF(ISNUMBER(Datos!AS10/Datos!BM10),Datos!AS10/Datos!BM10," - ")</f>
        <v xml:space="preserve"> - </v>
      </c>
      <c r="J10" s="1401">
        <f>IF(ISNUMBER(Datos!BY10/Datos!CN10),Datos!BY10/Datos!CN10," - ")</f>
        <v>0</v>
      </c>
      <c r="K10" s="244">
        <f t="shared" ref="K10:K13" si="1">IF(ISNUMBER((E10-F10)/C10),(E10-F10)/C10," - ")</f>
        <v>0.11965811965811966</v>
      </c>
      <c r="L10" s="1402">
        <f>IF(ISNUMBER(NºAsuntos!I10/NºAsuntos!G10),(NºAsuntos!I10/NºAsuntos!G10)*11," - ")</f>
        <v>75.84210526315789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117</v>
      </c>
      <c r="D14" s="1407">
        <f>SUBTOTAL(9,D9:D13)</f>
        <v>117</v>
      </c>
      <c r="E14" s="1408">
        <f>SUBTOTAL(9,E9:E13)</f>
        <v>33</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1542</v>
      </c>
      <c r="D16" s="239">
        <f>IF(ISNUMBER(IF(D_I="SI",Datos!I16,Datos!I16+Datos!AC16)),IF(D_I="SI",Datos!I16,Datos!I16+Datos!AC16)," - ")</f>
        <v>1525</v>
      </c>
      <c r="E16" s="240">
        <f>IF(ISNUMBER(IF(D_I="SI",Datos!J16,Datos!J16+Datos!AD16)),IF(D_I="SI",Datos!J16,Datos!J16+Datos!AD16)," - ")</f>
        <v>1913</v>
      </c>
      <c r="F16" s="240">
        <f>IF(ISNUMBER(IF(D_I="SI",Datos!K16,Datos!K16+Datos!AE16)),IF(D_I="SI",Datos!K16,Datos!K16+Datos!AE16)," - ")</f>
        <v>2065</v>
      </c>
      <c r="G16" s="1390" t="str">
        <f>IF(Datos!E16&lt;&gt;"",Datos!E16,Datos!D16)</f>
        <v>03</v>
      </c>
      <c r="H16" s="241">
        <f>IF(ISNUMBER(IF(D_I="SI",Datos!L16,Datos!L16+Datos!AF16)),IF(D_I="SI",Datos!L16,Datos!L16+Datos!AF16)," - ")</f>
        <v>1390</v>
      </c>
      <c r="I16" s="1400" t="str">
        <f>IF(ISNUMBER(Datos!AS16/Datos!BM16),Datos!AS16/Datos!BM16," - ")</f>
        <v xml:space="preserve"> - </v>
      </c>
      <c r="J16" s="1401">
        <f>IF(ISNUMBER(Datos!BY16/Datos!CN16),Datos!BY16/Datos!CN16," - ")</f>
        <v>0</v>
      </c>
      <c r="K16" s="244">
        <f t="shared" ref="K16:K22" si="3">IF(ISNUMBER((E16-F16)/C16),(E16-F16)/C16," - ")</f>
        <v>-9.8573281452658881E-2</v>
      </c>
      <c r="L16" s="1402">
        <f>IF(ISNUMBER(NºAsuntos!I16/NºAsuntos!G16),(NºAsuntos!I16/NºAsuntos!G16)*11," - ")</f>
        <v>7.4043583535108963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335</v>
      </c>
      <c r="D18" s="239">
        <f>IF(ISNUMBER(IF(D_I="SI",Datos!I18,Datos!I18+Datos!AC18)),IF(D_I="SI",Datos!I18,Datos!I18+Datos!AC18)," - ")</f>
        <v>335</v>
      </c>
      <c r="E18" s="240">
        <f>IF(ISNUMBER(IF(D_I="SI",Datos!J18,Datos!J18+Datos!AD18)),IF(D_I="SI",Datos!J18,Datos!J18+Datos!AD18)," - ")</f>
        <v>301</v>
      </c>
      <c r="F18" s="240">
        <f>IF(ISNUMBER(IF(D_I="SI",Datos!K18,Datos!K18+Datos!AE18)),IF(D_I="SI",Datos!K18,Datos!K18+Datos!AE18)," - ")</f>
        <v>346</v>
      </c>
      <c r="G18" s="1390" t="str">
        <f>IF(Datos!E18&lt;&gt;"",Datos!E18,Datos!D18)</f>
        <v>37</v>
      </c>
      <c r="H18" s="241">
        <f>IF(ISNUMBER(IF(D_I="SI",Datos!L18,Datos!L18+Datos!AF18)),IF(D_I="SI",Datos!L18,Datos!L18+Datos!AF18)," - ")</f>
        <v>290</v>
      </c>
      <c r="I18" s="1400" t="str">
        <f>IF(ISNUMBER(Datos!AS18/Datos!BM18),Datos!AS18/Datos!BM18," - ")</f>
        <v xml:space="preserve"> - </v>
      </c>
      <c r="J18" s="1401" t="str">
        <f>IF(ISNUMBER((Datos!BY18+Datos!BZ18)/Datos!CN18),(Datos!BY18+Datos!BZ18)/Datos!CN18," - ")</f>
        <v xml:space="preserve"> - </v>
      </c>
      <c r="K18" s="244">
        <f t="shared" si="3"/>
        <v>-0.13432835820895522</v>
      </c>
      <c r="L18" s="1402">
        <f>IF(ISNUMBER(NºAsuntos!I18/NºAsuntos!G18),(NºAsuntos!I18/NºAsuntos!G18)*11," - ")</f>
        <v>9.2196531791907503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1877</v>
      </c>
      <c r="D23" s="1407">
        <f>SUBTOTAL(9,D16:D22)</f>
        <v>1860</v>
      </c>
      <c r="E23" s="1408">
        <f>SUBTOTAL(9,E16:E22)</f>
        <v>2214</v>
      </c>
      <c r="F23" s="1408">
        <f>SUBTOTAL(9,F16:F22)</f>
        <v>2411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1994</v>
      </c>
      <c r="D31" s="1435">
        <f>SUBTOTAL(9,D9:D30)</f>
        <v>1977</v>
      </c>
      <c r="E31" s="1436">
        <f>SUBTOTAL(9,E9:E30)</f>
        <v>2247</v>
      </c>
      <c r="F31" s="1436">
        <f>SUBTOTAL(9,F9:F30)</f>
        <v>2430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BUoI6QAnlA8OXodYFzdKjCewtTy1MkB0/hhsipev8FLuvxaR9c7SECImGBXtSB9/NfTylBcY25pnn114BWrqA==" saltValue="pjQdeUbZSn0Pv40T5vHf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olQWtSU9v6OJmJyC0R3f6rNQGXAR7lyJ/hw60sEqDeLRzaEthrmyehXqRQ45fH4GW5++1mR9NiIcle0ifbQw==" saltValue="xuyoTiJh3J4k+yryX4fr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3121</v>
      </c>
      <c r="J9" s="194">
        <v>1477</v>
      </c>
      <c r="K9" s="194">
        <v>1415</v>
      </c>
      <c r="L9" s="194">
        <v>3183</v>
      </c>
      <c r="M9" s="194">
        <v>445</v>
      </c>
      <c r="N9" s="194">
        <v>597</v>
      </c>
      <c r="O9" s="194">
        <v>542</v>
      </c>
      <c r="P9" s="194">
        <v>311</v>
      </c>
      <c r="Q9" s="194">
        <v>112</v>
      </c>
      <c r="R9" s="194">
        <v>6694</v>
      </c>
      <c r="S9" s="194">
        <v>2574</v>
      </c>
      <c r="T9" s="194">
        <v>1439</v>
      </c>
      <c r="U9" s="194">
        <v>1415</v>
      </c>
      <c r="V9" s="194">
        <v>2595</v>
      </c>
      <c r="W9" s="194">
        <v>360</v>
      </c>
      <c r="X9" s="201">
        <v>523</v>
      </c>
      <c r="Y9" s="204">
        <v>126</v>
      </c>
      <c r="Z9" s="194">
        <v>115</v>
      </c>
      <c r="AA9" s="194">
        <v>154</v>
      </c>
      <c r="AB9" s="194">
        <v>87</v>
      </c>
      <c r="AC9" s="194">
        <v>0</v>
      </c>
      <c r="AD9" s="194">
        <v>0</v>
      </c>
      <c r="AE9" s="194">
        <v>0</v>
      </c>
      <c r="AF9" s="201">
        <v>0</v>
      </c>
      <c r="AG9" s="204">
        <v>190</v>
      </c>
      <c r="AH9" s="194">
        <v>137</v>
      </c>
      <c r="AI9" s="194">
        <v>184</v>
      </c>
      <c r="AJ9" s="205">
        <v>143</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2764</v>
      </c>
      <c r="AZ9" s="133">
        <f>IF(ISNUMBER(IF(J_V="SI",T9,T9+AH9)),IF(J_V="SI",T9,T9+AH9)," - ")</f>
        <v>1576</v>
      </c>
      <c r="BA9" s="134">
        <f>IF(ISNUMBER(IF(J_V="SI",U9,U9+AI9)),IF(J_V="SI",U9,U9+AI9)," - ")</f>
        <v>1599</v>
      </c>
      <c r="BB9" s="134">
        <f>IF(ISNUMBER(IF(J_V="SI",V9,V9+AJ9)),IF(J_V="SI",V9,V9+AJ9)," - ")</f>
        <v>2738</v>
      </c>
      <c r="BC9" s="135">
        <f>IF(ISNUMBER(X9),X9," - ")</f>
        <v>523</v>
      </c>
      <c r="BD9" s="136">
        <f>IF(ISNUMBER(BA9/AZ9),BA9/AZ9," - ")</f>
        <v>1.0145939086294415</v>
      </c>
      <c r="BE9" s="137">
        <f>IF(ISNUMBER(BB9/BA9),BB9/BA9, " - ")</f>
        <v>1.7123202001250781</v>
      </c>
      <c r="BF9" s="137">
        <f>IF(ISNUMBER(BC9/BA9),BC9/BA9, " - ")</f>
        <v>0.32707942464040024</v>
      </c>
      <c r="BG9" s="209">
        <f>IF(ISNUMBER((AY9+AZ9)/BA9),(AY9+AZ9)/BA9," - ")</f>
        <v>2.7141963727329581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117</v>
      </c>
      <c r="J10" s="194">
        <v>33</v>
      </c>
      <c r="K10" s="194">
        <v>19</v>
      </c>
      <c r="L10" s="194">
        <v>131</v>
      </c>
      <c r="M10" s="194">
        <v>9</v>
      </c>
      <c r="N10" s="194">
        <v>3</v>
      </c>
      <c r="O10" s="194">
        <v>7</v>
      </c>
      <c r="P10" s="194">
        <v>7</v>
      </c>
      <c r="Q10" s="194">
        <v>0</v>
      </c>
      <c r="R10" s="194">
        <v>68</v>
      </c>
      <c r="S10" s="194">
        <v>94</v>
      </c>
      <c r="T10" s="194">
        <v>23</v>
      </c>
      <c r="U10" s="194">
        <v>12</v>
      </c>
      <c r="V10" s="194">
        <v>105</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94</v>
      </c>
      <c r="AZ10" s="139">
        <f t="shared" si="0"/>
        <v>23</v>
      </c>
      <c r="BA10" s="139">
        <f t="shared" si="0"/>
        <v>12</v>
      </c>
      <c r="BB10" s="139">
        <f t="shared" si="0"/>
        <v>105</v>
      </c>
      <c r="BC10" s="135">
        <f t="shared" si="0"/>
        <v>9</v>
      </c>
      <c r="BD10" s="136">
        <f>IF(ISNUMBER(BA10/AZ10),BA10/AZ10," - ")</f>
        <v>0.52173913043478259</v>
      </c>
      <c r="BE10" s="137">
        <f>IF(ISNUMBER(BB10/BA10),BB10/BA10, " - ")</f>
        <v>8.75</v>
      </c>
      <c r="BF10" s="137">
        <f>IF(ISNUMBER(BC10/BA10),BC10/BA10, " - ")</f>
        <v>0.75</v>
      </c>
      <c r="BG10" s="209">
        <f>IF(ISNUMBER((AY10+AZ10)/BA10),(AY10+AZ10)/BA10," - ")</f>
        <v>9.75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11</v>
      </c>
      <c r="S12" s="196">
        <v>14</v>
      </c>
      <c r="T12" s="196">
        <v>0</v>
      </c>
      <c r="U12" s="196">
        <v>0</v>
      </c>
      <c r="V12" s="196">
        <v>10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1075</v>
      </c>
      <c r="AT12" s="216"/>
      <c r="AU12" s="215"/>
      <c r="AV12" s="216"/>
      <c r="AW12" s="215"/>
      <c r="AX12" s="216"/>
      <c r="AY12" s="136">
        <f t="shared" si="1"/>
        <v>14</v>
      </c>
      <c r="AZ12" s="137">
        <f t="shared" si="1"/>
        <v>0</v>
      </c>
      <c r="BA12" s="137">
        <f t="shared" si="1"/>
        <v>0</v>
      </c>
      <c r="BB12" s="137">
        <f t="shared" si="1"/>
        <v>10</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3238</v>
      </c>
      <c r="J14" s="197">
        <f t="shared" si="7"/>
        <v>1510</v>
      </c>
      <c r="K14" s="197">
        <f t="shared" si="7"/>
        <v>1434</v>
      </c>
      <c r="L14" s="197">
        <f t="shared" si="7"/>
        <v>3314</v>
      </c>
      <c r="M14" s="197">
        <f t="shared" si="7"/>
        <v>454</v>
      </c>
      <c r="N14" s="197">
        <f t="shared" si="7"/>
        <v>600</v>
      </c>
      <c r="O14" s="197">
        <f t="shared" si="7"/>
        <v>549</v>
      </c>
      <c r="P14" s="197">
        <f t="shared" si="7"/>
        <v>318</v>
      </c>
      <c r="Q14" s="197">
        <f t="shared" si="7"/>
        <v>112</v>
      </c>
      <c r="R14" s="197">
        <f t="shared" si="7"/>
        <v>6773</v>
      </c>
      <c r="S14" s="197">
        <f t="shared" si="7"/>
        <v>2682</v>
      </c>
      <c r="T14" s="197">
        <f t="shared" si="7"/>
        <v>1462</v>
      </c>
      <c r="U14" s="197">
        <f t="shared" si="7"/>
        <v>1427</v>
      </c>
      <c r="V14" s="197">
        <f t="shared" si="7"/>
        <v>2710</v>
      </c>
      <c r="W14" s="197">
        <f t="shared" si="7"/>
        <v>369</v>
      </c>
      <c r="X14" s="197">
        <f t="shared" si="7"/>
        <v>524</v>
      </c>
      <c r="Y14" s="197">
        <f t="shared" si="7"/>
        <v>126</v>
      </c>
      <c r="Z14" s="197">
        <f t="shared" si="7"/>
        <v>115</v>
      </c>
      <c r="AA14" s="197">
        <f t="shared" si="7"/>
        <v>154</v>
      </c>
      <c r="AB14" s="197">
        <f t="shared" si="7"/>
        <v>87</v>
      </c>
      <c r="AC14" s="197">
        <f t="shared" si="7"/>
        <v>0</v>
      </c>
      <c r="AD14" s="197">
        <f t="shared" si="7"/>
        <v>0</v>
      </c>
      <c r="AE14" s="197">
        <f t="shared" si="7"/>
        <v>0</v>
      </c>
      <c r="AF14" s="197">
        <f>SUBTOTAL(9,AF9:AF13)</f>
        <v>0</v>
      </c>
      <c r="AG14" s="197">
        <f t="shared" ref="AG14:AT14" si="8">SUBTOTAL(9,AG8:AG13)</f>
        <v>190</v>
      </c>
      <c r="AH14" s="197">
        <f t="shared" si="8"/>
        <v>137</v>
      </c>
      <c r="AI14" s="197">
        <f t="shared" si="8"/>
        <v>184</v>
      </c>
      <c r="AJ14" s="197">
        <f t="shared" si="8"/>
        <v>143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2872</v>
      </c>
      <c r="AZ14" s="197">
        <f>SUBTOTAL(9,AZ8:AZ13)</f>
        <v>1599</v>
      </c>
      <c r="BA14" s="197">
        <f>SUBTOTAL(9,BA8:BA13)</f>
        <v>1611</v>
      </c>
      <c r="BB14" s="197">
        <f>SUBTOTAL(9,BB8:BB13)</f>
        <v>2853</v>
      </c>
      <c r="BC14" s="197">
        <f>SUBTOTAL(9,BC8:BC13)</f>
        <v>532</v>
      </c>
      <c r="BD14" s="219">
        <f>IF(ISNUMBER(BA14/AZ14),BA14/AZ14," - ")</f>
        <v>1.0075046904315197</v>
      </c>
      <c r="BE14" s="220">
        <f>IF(ISNUMBER(BB14/BA14),BB14/BA14, " - ")</f>
        <v>1.770949720670391</v>
      </c>
      <c r="BF14" s="220">
        <f>IF(ISNUMBER(BC14/BA14),BC14/BA14, " - ")</f>
        <v>0.3302296710117939</v>
      </c>
      <c r="BG14" s="221">
        <f>IF(ISNUMBER((AY14+AZ14)/BA14),(AY14+AZ14)/BA14," - ")</f>
        <v>2.7752948479205464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1525</v>
      </c>
      <c r="J16" s="196">
        <v>1913</v>
      </c>
      <c r="K16" s="196">
        <v>2065</v>
      </c>
      <c r="L16" s="196">
        <v>1390</v>
      </c>
      <c r="M16" s="196">
        <v>187</v>
      </c>
      <c r="N16" s="196">
        <v>1359</v>
      </c>
      <c r="O16" s="194">
        <v>33</v>
      </c>
      <c r="P16" s="196">
        <v>35</v>
      </c>
      <c r="Q16" s="196">
        <v>36</v>
      </c>
      <c r="R16" s="196">
        <v>240</v>
      </c>
      <c r="S16" s="196">
        <v>2271</v>
      </c>
      <c r="T16" s="196">
        <v>1527</v>
      </c>
      <c r="U16" s="196">
        <v>1987</v>
      </c>
      <c r="V16" s="196">
        <v>1813</v>
      </c>
      <c r="W16" s="196">
        <v>188</v>
      </c>
      <c r="X16" s="202">
        <v>1352</v>
      </c>
      <c r="Y16" s="215">
        <v>0</v>
      </c>
      <c r="Z16" s="196">
        <v>0</v>
      </c>
      <c r="AA16" s="196">
        <v>0</v>
      </c>
      <c r="AB16" s="196">
        <v>0</v>
      </c>
      <c r="AC16" s="196">
        <v>3</v>
      </c>
      <c r="AD16" s="196">
        <v>5</v>
      </c>
      <c r="AE16" s="196">
        <v>8</v>
      </c>
      <c r="AF16" s="202">
        <v>0</v>
      </c>
      <c r="AG16" s="215">
        <v>0</v>
      </c>
      <c r="AH16" s="196">
        <v>0</v>
      </c>
      <c r="AI16" s="196">
        <v>0</v>
      </c>
      <c r="AJ16" s="216">
        <v>0</v>
      </c>
      <c r="AK16" s="195">
        <v>0</v>
      </c>
      <c r="AL16" s="196">
        <v>2</v>
      </c>
      <c r="AM16" s="196">
        <v>2</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2271</v>
      </c>
      <c r="AZ16" s="139">
        <f t="shared" si="10"/>
        <v>1527</v>
      </c>
      <c r="BA16" s="139">
        <f t="shared" si="10"/>
        <v>1987</v>
      </c>
      <c r="BB16" s="139">
        <f t="shared" si="10"/>
        <v>1813</v>
      </c>
      <c r="BC16" s="135">
        <f>IF(ISNUMBER(W16),W16," - ")</f>
        <v>188</v>
      </c>
      <c r="BD16" s="136">
        <f>IF(ISNUMBER(BA16/AZ16),BA16/AZ16," - ")</f>
        <v>1.3012442698100852</v>
      </c>
      <c r="BE16" s="137">
        <f>IF(ISNUMBER(BB16/BA16),BB16/BA16, " - ")</f>
        <v>0.91243080020130851</v>
      </c>
      <c r="BF16" s="137">
        <f>IF(ISNUMBER(BC16/BA16),BC16/BA16, " - ")</f>
        <v>9.4614997483643687E-2</v>
      </c>
      <c r="BG16" s="209">
        <f t="shared" ref="BG16:BG22" si="11">IF(ISNUMBER((AY16+AZ16)/BA16),(AY16+AZ16)/BA16," - ")</f>
        <v>1.9114242576748868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335</v>
      </c>
      <c r="J18" s="196">
        <v>301</v>
      </c>
      <c r="K18" s="196">
        <v>346</v>
      </c>
      <c r="L18" s="196">
        <v>290</v>
      </c>
      <c r="M18" s="196">
        <v>57</v>
      </c>
      <c r="N18" s="196">
        <v>192</v>
      </c>
      <c r="O18" s="196">
        <v>0</v>
      </c>
      <c r="P18" s="196">
        <v>5</v>
      </c>
      <c r="Q18" s="196">
        <v>6</v>
      </c>
      <c r="R18" s="196">
        <v>24</v>
      </c>
      <c r="S18" s="196">
        <v>378</v>
      </c>
      <c r="T18" s="196">
        <v>246</v>
      </c>
      <c r="U18" s="196">
        <v>323</v>
      </c>
      <c r="V18" s="196">
        <v>301</v>
      </c>
      <c r="W18" s="196">
        <v>48</v>
      </c>
      <c r="X18" s="202">
        <v>225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378</v>
      </c>
      <c r="AZ18" s="139">
        <f t="shared" si="15"/>
        <v>246</v>
      </c>
      <c r="BA18" s="139">
        <f t="shared" si="15"/>
        <v>323</v>
      </c>
      <c r="BB18" s="139">
        <f t="shared" si="15"/>
        <v>301</v>
      </c>
      <c r="BC18" s="135">
        <f>IF(ISNUMBER(W18),W18," - ")</f>
        <v>48</v>
      </c>
      <c r="BD18" s="136">
        <f>IF(ISNUMBER(BA18/AZ18),BA18/AZ18," - ")</f>
        <v>1.3130081300813008</v>
      </c>
      <c r="BE18" s="137">
        <f>IF(ISNUMBER(BB18/BA18),BB18/BA18, " - ")</f>
        <v>0.93188854489164086</v>
      </c>
      <c r="BF18" s="137">
        <f>IF(ISNUMBER(BC18/BA18),BC18/BA18, " - ")</f>
        <v>0.14860681114551083</v>
      </c>
      <c r="BG18" s="209">
        <f>IF(ISNUMBER((AY18+AZ18)/BA18),(AY18+AZ18)/BA18," - ")</f>
        <v>1.931888544891641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1860</v>
      </c>
      <c r="J23" s="197">
        <f t="shared" si="21"/>
        <v>2214</v>
      </c>
      <c r="K23" s="197">
        <f t="shared" si="21"/>
        <v>2411</v>
      </c>
      <c r="L23" s="197">
        <f t="shared" si="21"/>
        <v>1680</v>
      </c>
      <c r="M23" s="197">
        <f t="shared" si="21"/>
        <v>244</v>
      </c>
      <c r="N23" s="197">
        <f t="shared" si="21"/>
        <v>1551</v>
      </c>
      <c r="O23" s="197">
        <f t="shared" si="21"/>
        <v>33</v>
      </c>
      <c r="P23" s="197">
        <f t="shared" si="21"/>
        <v>40</v>
      </c>
      <c r="Q23" s="197">
        <f t="shared" si="21"/>
        <v>42</v>
      </c>
      <c r="R23" s="197">
        <f t="shared" si="21"/>
        <v>264</v>
      </c>
      <c r="S23" s="197">
        <f t="shared" si="21"/>
        <v>2649</v>
      </c>
      <c r="T23" s="197">
        <f t="shared" si="21"/>
        <v>1773</v>
      </c>
      <c r="U23" s="197">
        <f t="shared" si="21"/>
        <v>2310</v>
      </c>
      <c r="V23" s="197">
        <f t="shared" si="21"/>
        <v>2114</v>
      </c>
      <c r="W23" s="197">
        <f t="shared" si="21"/>
        <v>236</v>
      </c>
      <c r="X23" s="197">
        <f t="shared" si="21"/>
        <v>1577</v>
      </c>
      <c r="Y23" s="197">
        <f t="shared" si="21"/>
        <v>0</v>
      </c>
      <c r="Z23" s="197">
        <f t="shared" si="21"/>
        <v>0</v>
      </c>
      <c r="AA23" s="197">
        <f t="shared" si="21"/>
        <v>0</v>
      </c>
      <c r="AB23" s="197">
        <f t="shared" si="21"/>
        <v>0</v>
      </c>
      <c r="AC23" s="197">
        <f t="shared" si="21"/>
        <v>3</v>
      </c>
      <c r="AD23" s="197">
        <f t="shared" si="21"/>
        <v>5</v>
      </c>
      <c r="AE23" s="197">
        <f t="shared" si="21"/>
        <v>8</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2649</v>
      </c>
      <c r="AZ23" s="197">
        <f>SUBTOTAL(9,AZ15:AZ22)</f>
        <v>1773</v>
      </c>
      <c r="BA23" s="197">
        <f>SUBTOTAL(9,BA15:BA22)</f>
        <v>2310</v>
      </c>
      <c r="BB23" s="197">
        <f>SUBTOTAL(9,BB15:BB22)</f>
        <v>2114</v>
      </c>
      <c r="BC23" s="197">
        <f>SUBTOTAL(9,BC15:BC22)</f>
        <v>236</v>
      </c>
      <c r="BD23" s="219">
        <f>IF(ISNUMBER(BA23/AZ23),BA23/AZ23," - ")</f>
        <v>1.3028764805414552</v>
      </c>
      <c r="BE23" s="220">
        <f>IF(ISNUMBER(BB23/BA23),BB23/BA23, " - ")</f>
        <v>0.91515151515151516</v>
      </c>
      <c r="BF23" s="220">
        <f>IF(ISNUMBER(BC23/BA23),BC23/BA23, " - ")</f>
        <v>0.10216450216450217</v>
      </c>
      <c r="BG23" s="221">
        <f>IF(ISNUMBER((AY23+AZ23)/BA23),(AY23+AZ23)/BA23," - ")</f>
        <v>1.9142857142857144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5098</v>
      </c>
      <c r="J31" s="144">
        <f t="shared" si="36"/>
        <v>3724</v>
      </c>
      <c r="K31" s="144">
        <f t="shared" si="36"/>
        <v>3845</v>
      </c>
      <c r="L31" s="144">
        <f t="shared" si="36"/>
        <v>4994</v>
      </c>
      <c r="M31" s="144">
        <f t="shared" si="36"/>
        <v>698</v>
      </c>
      <c r="N31" s="144">
        <f t="shared" si="36"/>
        <v>2151</v>
      </c>
      <c r="O31" s="144">
        <f t="shared" si="36"/>
        <v>582</v>
      </c>
      <c r="P31" s="144">
        <f t="shared" si="36"/>
        <v>358</v>
      </c>
      <c r="Q31" s="144">
        <f t="shared" si="36"/>
        <v>154</v>
      </c>
      <c r="R31" s="144">
        <f t="shared" si="36"/>
        <v>7037</v>
      </c>
      <c r="S31" s="144">
        <f t="shared" si="36"/>
        <v>5331</v>
      </c>
      <c r="T31" s="144">
        <f t="shared" si="36"/>
        <v>3235</v>
      </c>
      <c r="U31" s="144">
        <f t="shared" si="36"/>
        <v>3737</v>
      </c>
      <c r="V31" s="144">
        <f t="shared" si="36"/>
        <v>4824</v>
      </c>
      <c r="W31" s="144">
        <f t="shared" si="36"/>
        <v>605</v>
      </c>
      <c r="X31" s="144">
        <f t="shared" si="36"/>
        <v>2101</v>
      </c>
      <c r="Y31" s="144">
        <f t="shared" si="36"/>
        <v>126</v>
      </c>
      <c r="Z31" s="144">
        <f t="shared" si="36"/>
        <v>115</v>
      </c>
      <c r="AA31" s="144">
        <f t="shared" si="36"/>
        <v>154</v>
      </c>
      <c r="AB31" s="144">
        <f t="shared" si="36"/>
        <v>87</v>
      </c>
      <c r="AC31" s="144">
        <f t="shared" si="36"/>
        <v>3</v>
      </c>
      <c r="AD31" s="144">
        <f t="shared" si="36"/>
        <v>5</v>
      </c>
      <c r="AE31" s="144">
        <f t="shared" si="36"/>
        <v>8</v>
      </c>
      <c r="AF31" s="144">
        <f t="shared" si="36"/>
        <v>0</v>
      </c>
      <c r="AG31" s="144">
        <f t="shared" si="36"/>
        <v>190</v>
      </c>
      <c r="AH31" s="144">
        <f t="shared" si="36"/>
        <v>137</v>
      </c>
      <c r="AI31" s="144">
        <f t="shared" si="36"/>
        <v>184</v>
      </c>
      <c r="AJ31" s="144">
        <f t="shared" si="36"/>
        <v>143</v>
      </c>
      <c r="AK31" s="144">
        <f t="shared" si="36"/>
        <v>0</v>
      </c>
      <c r="AL31" s="144">
        <f t="shared" si="36"/>
        <v>2</v>
      </c>
      <c r="AM31" s="144">
        <f t="shared" si="36"/>
        <v>2</v>
      </c>
      <c r="AN31" s="224">
        <f t="shared" si="36"/>
        <v>0</v>
      </c>
      <c r="AO31" s="225">
        <v>9</v>
      </c>
      <c r="AP31" s="225">
        <v>8</v>
      </c>
      <c r="AQ31" s="225">
        <v>8</v>
      </c>
      <c r="AR31" s="225">
        <v>8</v>
      </c>
      <c r="AS31" s="166">
        <f t="shared" si="36"/>
        <v>0</v>
      </c>
      <c r="AT31" s="166">
        <f t="shared" si="36"/>
        <v>0</v>
      </c>
      <c r="AU31" s="225"/>
      <c r="AV31" s="226"/>
      <c r="AW31" s="225"/>
      <c r="AX31" s="226"/>
      <c r="AY31" s="143">
        <f>SUBTOTAL(9,AY9:AY30)</f>
        <v>5521</v>
      </c>
      <c r="AZ31" s="144">
        <f>SUBTOTAL(9,AZ9:AZ30)</f>
        <v>3372</v>
      </c>
      <c r="BA31" s="144">
        <f>SUBTOTAL(9,BA9:BA30)</f>
        <v>3921</v>
      </c>
      <c r="BB31" s="144">
        <f>SUBTOTAL(9,BB9:BB30)</f>
        <v>4967</v>
      </c>
      <c r="BC31" s="145">
        <f>SUBTOTAL(9,BC9:BC30)</f>
        <v>768</v>
      </c>
      <c r="BD31" s="227">
        <f>IF(ISNUMBER(BA31/AZ31),BA31/AZ31," - ")</f>
        <v>1.1628113879003559</v>
      </c>
      <c r="BE31" s="224">
        <f>IF(ISNUMBER(BB31/BA31),BB31/BA31, " - ")</f>
        <v>1.2667686814588115</v>
      </c>
      <c r="BF31" s="224">
        <f>IF(ISNUMBER(BC31/BA31),BC31/BA31, " - ")</f>
        <v>0.19586840091813312</v>
      </c>
      <c r="BG31" s="145">
        <f>IF(ISNUMBER((AY31+AZ31)/BA31),(AY31+AZ31)/BA31," - ")</f>
        <v>2.2680438663606224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1qxApj/8FsCQti/8+7ylrWK2AV1J7pRsfdIkfMr2EqSfyKQEfW0rNDDZCa37+yYlweqYhRzXQ9VyLQKwZlNQ==" saltValue="m/nMfAJ/7OOILbCZPTTh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Io1gMnsra3DhOADb1qwPhh/1P7DLuz1ZWnTJrPfBQB12RFK9Ael2VByDtcwlR1Rvlzzte3llVFJWRlC/G4Ww==" saltValue="WPJAM8U29Dbls0Hzswz2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MANACOR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115</v>
      </c>
      <c r="O9" s="549"/>
      <c r="P9" s="549"/>
      <c r="Q9" s="547">
        <f>IF(ISNUMBER(Datos!P9),Datos!P9,0)</f>
        <v>311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87</v>
      </c>
      <c r="AI9" s="549" t="str">
        <f>IF(ISNUMBER(Datos!CD9),Datos!CD9,"-")</f>
        <v>-</v>
      </c>
      <c r="AJ9" s="549" t="str">
        <f>IF(ISNUMBER(Datos!EN9),Datos!EN9," - ")</f>
        <v xml:space="preserve"> - </v>
      </c>
      <c r="AK9" s="549"/>
      <c r="AL9" s="550"/>
      <c r="AM9" s="766">
        <f>IF(ISNUMBER(Datos!R9),Datos!R9," - ")</f>
        <v>6694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445</v>
      </c>
      <c r="BD9" s="693">
        <f>IF(ISNUMBER(Datos!N9),Datos!N9," - ")</f>
        <v>597</v>
      </c>
      <c r="BE9" s="693" t="str">
        <f>IF(ISNUMBER(Datos!BW9),Datos!BW9," - ")</f>
        <v xml:space="preserve"> - </v>
      </c>
      <c r="BF9" s="762" t="str">
        <f>IF(ISNUMBER(Datos!BX9),Datos!BX9," - ")</f>
        <v xml:space="preserve"> - </v>
      </c>
      <c r="BG9" s="763">
        <f>IF(ISNUMBER(IF(J_V="SI",Datos!K9/Datos!J9,(Datos!K9+Datos!AA9)/(Datos!J9+Datos!Z9))),IF(J_V="SI",Datos!K9/Datos!J9,(Datos!K9+Datos!AA9)/(Datos!J9+Datos!Z9))," - ")</f>
        <v>0.98555276381909551</v>
      </c>
      <c r="BH9" s="764">
        <f>IF(ISNUMBER(((IF(J_V="SI",Datos!L9/Datos!K9,(Datos!L9+Datos!AB9)/(Datos!K9+Datos!AA9)))*11)/factor_trimestre),((IF(J_V="SI",Datos!L9/Datos!K9,(Datos!L9+Datos!AB9)/(Datos!K9+Datos!AA9)))*11)/factor_trimestre," - ")</f>
        <v>6.252390057361378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3.0638953040800616E-2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117</v>
      </c>
      <c r="G10" s="543">
        <f>IF(ISNUMBER(Datos!I10),Datos!I10," - ")</f>
        <v>117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0</v>
      </c>
      <c r="AD10" s="549"/>
      <c r="AE10" s="563"/>
      <c r="AF10" s="551">
        <f>IF(ISNUMBER(Datos!L10),Datos!L10,"-")</f>
        <v>131</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3</v>
      </c>
      <c r="BE10" s="693" t="str">
        <f>IF(ISNUMBER(Datos!BW10),Datos!BW10," - ")</f>
        <v xml:space="preserve"> - </v>
      </c>
      <c r="BF10" s="762" t="str">
        <f>IF(ISNUMBER(Datos!BX10),Datos!BX10," - ")</f>
        <v xml:space="preserve"> - </v>
      </c>
      <c r="BG10" s="763">
        <f>IF(ISNUMBER(Datos!K10/Datos!J10),Datos!K10/Datos!J10," - ")</f>
        <v>0.5757575757575758</v>
      </c>
      <c r="BH10" s="764">
        <f>IF(ISNUMBER(((Datos!L10/Datos!K10)*11)/factor_trimestre),((Datos!L10/Datos!K10)*11)/factor_trimestre," - ")</f>
        <v>20.684210526315788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0.11475409836065574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117</v>
      </c>
      <c r="G14" s="1197">
        <f t="shared" si="1"/>
        <v>117</v>
      </c>
      <c r="H14" s="1198">
        <f t="shared" si="1"/>
        <v>0</v>
      </c>
      <c r="I14" s="1197">
        <f t="shared" si="1"/>
        <v>0</v>
      </c>
      <c r="J14" s="1164">
        <f t="shared" si="1"/>
        <v>0</v>
      </c>
      <c r="K14" s="1164">
        <f t="shared" si="1"/>
        <v>0</v>
      </c>
      <c r="L14" s="1198">
        <f t="shared" si="1"/>
        <v>0</v>
      </c>
      <c r="M14" s="1198">
        <f t="shared" si="1"/>
        <v>0</v>
      </c>
      <c r="N14" s="1198">
        <f t="shared" si="1"/>
        <v>115</v>
      </c>
      <c r="O14" s="1199">
        <f t="shared" si="1"/>
        <v>0</v>
      </c>
      <c r="P14" s="1199">
        <f t="shared" si="1"/>
        <v>0</v>
      </c>
      <c r="Q14" s="1198">
        <f t="shared" si="1"/>
        <v>318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112</v>
      </c>
      <c r="AD14" s="1198">
        <f t="shared" si="2"/>
        <v>0</v>
      </c>
      <c r="AE14" s="1198">
        <f t="shared" si="2"/>
        <v>0</v>
      </c>
      <c r="AF14" s="1198">
        <f t="shared" si="2"/>
        <v>131</v>
      </c>
      <c r="AG14" s="1198">
        <f t="shared" si="2"/>
        <v>0</v>
      </c>
      <c r="AH14" s="1198">
        <f t="shared" si="2"/>
        <v>87</v>
      </c>
      <c r="AI14" s="1198">
        <f t="shared" si="2"/>
        <v>0</v>
      </c>
      <c r="AJ14" s="1198">
        <f t="shared" si="2"/>
        <v>0</v>
      </c>
      <c r="AK14" s="1198">
        <f t="shared" si="2"/>
        <v>0</v>
      </c>
      <c r="AL14" s="1198">
        <f t="shared" si="2"/>
        <v>0</v>
      </c>
      <c r="AM14" s="1198">
        <f t="shared" si="2"/>
        <v>6773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454</v>
      </c>
      <c r="BD14" s="1198">
        <f t="shared" si="2"/>
        <v>600</v>
      </c>
      <c r="BE14" s="1198">
        <f t="shared" si="2"/>
        <v>0</v>
      </c>
      <c r="BF14" s="1198">
        <f t="shared" si="2"/>
        <v>0</v>
      </c>
      <c r="BG14" s="1198">
        <f>IF(ISNUMBER(Datos!K14/Datos!J14),Datos!K14/Datos!J14," - ")</f>
        <v>0.94966887417218548</v>
      </c>
      <c r="BH14" s="1202">
        <f>IF(ISNUMBER(((Datos!L14/Datos!K14)*11)/factor_trimestre),((Datos!L14/Datos!K14)*11)/factor_trimestre," - ")</f>
        <v>6.93305439330544</v>
      </c>
      <c r="BI14" s="1198">
        <f>IF(ISNUMBER('Resol  Asuntos'!D14/NºAsuntos!G14),'Resol  Asuntos'!D14/NºAsuntos!G14," - ")</f>
        <v>0.2858942065491184</v>
      </c>
      <c r="BJ14" s="1198" t="str">
        <f>IF(ISNUMBER(Datos!CI14/Datos!CJ14),Datos!CI14/Datos!CJ14," - ")</f>
        <v xml:space="preserve"> - </v>
      </c>
      <c r="BK14" s="1198">
        <f>SUBTOTAL(9,BK8:BK13)</f>
        <v>0</v>
      </c>
      <c r="BL14" s="1198">
        <f>IF(ISNUMBER((I14-AB14+L14)/(F14)),(I14-AB14+L14)/(F14)," - ")</f>
        <v>-0.1623931623931624</v>
      </c>
      <c r="BM14" s="1203">
        <f>SUBTOTAL(9,BM9:BM13)</f>
        <v>0.14539305140145636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1542</v>
      </c>
      <c r="G16" s="743">
        <f>IF(ISNUMBER(IF(D_I="SI",Datos!I16,Datos!I16+Datos!AC16)),IF(D_I="SI",Datos!I16,Datos!I16+Datos!AC16)," - ")</f>
        <v>1525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2065</v>
      </c>
      <c r="AC16" s="240">
        <f>IF(ISNUMBER(Datos!Q16),Datos!Q16," - ")</f>
        <v>36</v>
      </c>
      <c r="AD16" s="374"/>
      <c r="AE16" s="562"/>
      <c r="AF16" s="741">
        <f>IF(ISNUMBER(IF(D_I="SI",Datos!L16,Datos!L16+Datos!AF16)),IF(D_I="SI",Datos!L16,Datos!L16+Datos!AF16)," - ")</f>
        <v>1390</v>
      </c>
      <c r="AG16" s="374"/>
      <c r="AH16" s="374"/>
      <c r="AI16" s="374"/>
      <c r="AJ16" s="549"/>
      <c r="AK16" s="374"/>
      <c r="AL16" s="545"/>
      <c r="AM16" s="375">
        <f>IF(ISNUMBER(Datos!R16),Datos!R16," - ")</f>
        <v>240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187</v>
      </c>
      <c r="BD16" s="243">
        <f>IF(ISNUMBER(Datos!N16),Datos!N16," - ")</f>
        <v>1359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1.0794563512807109</v>
      </c>
      <c r="BH16" s="764">
        <f>IF(ISNUMBER(((IF(D_I="SI",Datos!L16/Datos!K16,(Datos!L16+Datos!AF16)/(Datos!K16+Datos!AE16)))*11)/factor_trimestre),((IF(D_I="SI",Datos!L16/Datos!K16,(Datos!L16+Datos!AF16)/(Datos!K16+Datos!AE16)))*11)/factor_trimestre," - ")</f>
        <v>2.0193704600484264</v>
      </c>
      <c r="BI16" s="266">
        <f>IF(ISNUMBER('Resol  Asuntos'!D16/NºAsuntos!G16),'Resol  Asuntos'!D16/NºAsuntos!G16," - ")</f>
        <v>9.0556900726392248E-2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346</v>
      </c>
      <c r="AC18" s="547">
        <f>IF(ISNUMBER(Datos!Q18),Datos!Q18," - ")</f>
        <v>6</v>
      </c>
      <c r="AD18" s="549"/>
      <c r="AE18" s="562"/>
      <c r="AF18" s="551">
        <f>IF(ISNUMBER(Datos!L18),Datos!L18,"-")</f>
        <v>290</v>
      </c>
      <c r="AG18" s="549"/>
      <c r="AH18" s="549"/>
      <c r="AI18" s="549"/>
      <c r="AJ18" s="549"/>
      <c r="AK18" s="549"/>
      <c r="AL18" s="550"/>
      <c r="AM18" s="766">
        <f>IF(ISNUMBER(Datos!R18),Datos!R18," - ")</f>
        <v>24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57</v>
      </c>
      <c r="BD18" s="693">
        <f>IF(ISNUMBER(Datos!N18),Datos!N18," - ")</f>
        <v>192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1.1495016611295681</v>
      </c>
      <c r="BH18" s="764">
        <f>IF(ISNUMBER(((IF(D_I="SI",Datos!L18/Datos!K18,(Datos!L18+Datos!AF18)/(Datos!K18+Datos!AE18)))*11)/factor_trimestre),((IF(D_I="SI",Datos!L18/Datos!K18,(Datos!L18+Datos!AF18)/(Datos!K18+Datos!AE18)))*11)/factor_trimestre," - ")</f>
        <v>2.5144508670520231</v>
      </c>
      <c r="BI18" s="763">
        <f>IF(ISNUMBER('Resol  Asuntos'!D18/NºAsuntos!G18),'Resol  Asuntos'!D18/NºAsuntos!G18," - ")</f>
        <v>0.16473988439306358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1542</v>
      </c>
      <c r="G23" s="1197">
        <f>SUBTOTAL(9,G16:G22)</f>
        <v>1860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2411</v>
      </c>
      <c r="AC23" s="1198">
        <f t="shared" si="5"/>
        <v>42</v>
      </c>
      <c r="AD23" s="1198">
        <f t="shared" si="5"/>
        <v>0</v>
      </c>
      <c r="AE23" s="1198">
        <f t="shared" si="5"/>
        <v>0</v>
      </c>
      <c r="AF23" s="1198">
        <f t="shared" si="5"/>
        <v>1680</v>
      </c>
      <c r="AG23" s="1198">
        <f t="shared" si="5"/>
        <v>0</v>
      </c>
      <c r="AH23" s="1198">
        <f t="shared" si="5"/>
        <v>0</v>
      </c>
      <c r="AI23" s="1198">
        <f t="shared" si="5"/>
        <v>0</v>
      </c>
      <c r="AJ23" s="1198">
        <f t="shared" si="5"/>
        <v>0</v>
      </c>
      <c r="AK23" s="1198">
        <f t="shared" si="5"/>
        <v>0</v>
      </c>
      <c r="AL23" s="1198">
        <f t="shared" si="5"/>
        <v>0</v>
      </c>
      <c r="AM23" s="1198">
        <f t="shared" si="5"/>
        <v>264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244</v>
      </c>
      <c r="BD23" s="1198">
        <f t="shared" si="5"/>
        <v>1551</v>
      </c>
      <c r="BE23" s="1198">
        <f t="shared" si="5"/>
        <v>0</v>
      </c>
      <c r="BF23" s="1198">
        <f t="shared" si="5"/>
        <v>0</v>
      </c>
      <c r="BG23" s="1198">
        <f>IF(ISNUMBER(Datos!K23/Datos!J23),Datos!K23/Datos!J23," - ")</f>
        <v>1.0889792231255646</v>
      </c>
      <c r="BH23" s="1202">
        <f>IF(ISNUMBER(((Datos!L23/Datos!K23)*11)/factor_trimestre),((Datos!L23/Datos!K23)*11)/factor_trimestre," - ")</f>
        <v>2.0904189133139779</v>
      </c>
      <c r="BI23" s="1198">
        <f>SUBTOTAL(9,BI16:BI22)</f>
        <v>0.25529678511945586</v>
      </c>
      <c r="BJ23" s="1198">
        <f>SUBTOTAL(9,BJ16:BJ22)</f>
        <v>0</v>
      </c>
      <c r="BK23" s="1198">
        <f>SUBTOTAL(9,BK16:BK22)</f>
        <v>0</v>
      </c>
      <c r="BL23" s="1198">
        <f>IF(ISNUMBER((I23-AB23+L23)/(F23)),(I23-AB23+L23)/(F23)," - ")</f>
        <v>-1.5635538261997406</v>
      </c>
      <c r="BM23" s="1205">
        <f>IF(ISNUMBER((Datos!P23-Datos!Q23)/(Datos!R23-Datos!P23+Datos!Q23)),(Datos!P23-Datos!Q23)/(Datos!R23-Datos!P23+Datos!Q23)," - ")</f>
        <v>-7.5187969924812026E-3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1659</v>
      </c>
      <c r="G31" s="1117">
        <f t="shared" si="18"/>
        <v>1977</v>
      </c>
      <c r="H31" s="1119">
        <f t="shared" si="18"/>
        <v>0</v>
      </c>
      <c r="I31" s="1117">
        <f t="shared" si="18"/>
        <v>0</v>
      </c>
      <c r="J31" s="1119">
        <f t="shared" si="18"/>
        <v>0</v>
      </c>
      <c r="K31" s="1119">
        <f t="shared" si="18"/>
        <v>0</v>
      </c>
      <c r="L31" s="1180">
        <f t="shared" si="18"/>
        <v>0</v>
      </c>
      <c r="M31" s="1180">
        <f t="shared" si="18"/>
        <v>0</v>
      </c>
      <c r="N31" s="1180">
        <f t="shared" si="18"/>
        <v>115</v>
      </c>
      <c r="O31" s="1180">
        <f t="shared" si="18"/>
        <v>0</v>
      </c>
      <c r="P31" s="1180">
        <f t="shared" si="18"/>
        <v>0</v>
      </c>
      <c r="Q31" s="1119">
        <f t="shared" si="18"/>
        <v>358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2430</v>
      </c>
      <c r="AC31" s="1118">
        <f t="shared" si="19"/>
        <v>154</v>
      </c>
      <c r="AD31" s="1118">
        <f t="shared" si="19"/>
        <v>0</v>
      </c>
      <c r="AE31" s="1118">
        <f t="shared" si="19"/>
        <v>0</v>
      </c>
      <c r="AF31" s="1125">
        <f t="shared" si="19"/>
        <v>1811</v>
      </c>
      <c r="AG31" s="1125">
        <f t="shared" si="19"/>
        <v>0</v>
      </c>
      <c r="AH31" s="1125">
        <f t="shared" si="19"/>
        <v>87</v>
      </c>
      <c r="AI31" s="1125">
        <f t="shared" si="19"/>
        <v>0</v>
      </c>
      <c r="AJ31" s="1118">
        <f t="shared" si="19"/>
        <v>0</v>
      </c>
      <c r="AK31" s="1125">
        <f t="shared" si="19"/>
        <v>0</v>
      </c>
      <c r="AL31" s="1125">
        <f t="shared" si="19"/>
        <v>0</v>
      </c>
      <c r="AM31" s="1125">
        <f t="shared" si="19"/>
        <v>7037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698</v>
      </c>
      <c r="BD31" s="1117">
        <f t="shared" si="19"/>
        <v>2151</v>
      </c>
      <c r="BE31" s="1117">
        <f t="shared" si="19"/>
        <v>0</v>
      </c>
      <c r="BF31" s="1127">
        <f t="shared" si="19"/>
        <v>0</v>
      </c>
      <c r="BG31" s="1223">
        <f>IF(ISNUMBER(Datos!K31/Datos!J31),Datos!K31/Datos!J31," - ")</f>
        <v>1.0324919441460796</v>
      </c>
      <c r="BH31" s="1223">
        <f>IF(ISNUMBER(((Datos!L31/Datos!K31)*11)/factor_trimestre),((Datos!L31/Datos!K31)*11)/factor_trimestre," - ")</f>
        <v>3.8964889466840056</v>
      </c>
      <c r="BI31" s="1103">
        <f>IF(ISNUMBER(Datos!J31/Datos!I31),Datos!J31/Datos!I31," - ")</f>
        <v>0.73048254217340136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-1.4647377938517179</v>
      </c>
      <c r="BM31" s="1188">
        <f>IF(ISNUMBER((Datos!P31-Datos!Q31+R31)/(Datos!R31-Datos!P31+Datos!Q31-R31)),(Datos!P31-Datos!Q31+R31)/(Datos!R31-Datos!P31+Datos!Q31-R31)," - ")</f>
        <v>2.9855114883652861E-2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767.8609249076294</v>
      </c>
      <c r="G33" s="674">
        <f>IF(ISNUMBER(STDEV(G8:G30)),STDEV(G8:G30),"-")</f>
        <v>784.36628955512629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1066.4079448137588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188.89179736322885</v>
      </c>
      <c r="BD33" s="673"/>
      <c r="BE33" s="673">
        <f>IF(ISNUMBER(STDEV(BE8:BE30)),STDEV(BE8:BE30),"-")</f>
        <v>0</v>
      </c>
      <c r="BF33" s="678">
        <f>IF(ISNUMBER(STDEV(BF8:BF30)),STDEV(BF8:BF30),"-")</f>
        <v>0</v>
      </c>
      <c r="BG33" s="1052">
        <f>IF(ISNUMBER(STDEV(BG8:BG30)),STDEV(BG8:BG30),"-")</f>
        <v>0.20708774778851596</v>
      </c>
      <c r="BH33" s="1058">
        <f>IF(ISNUMBER(STDEV(BH8:BH30)),STDEV(BH8:BH30),"-")</f>
        <v>7.1620355982289929</v>
      </c>
      <c r="BI33" s="273">
        <f>IF(ISNUMBER(STDEV(BI8:BI30)),STDEV(BI8:BI30),"-")</f>
        <v>8.879476892719998E-2</v>
      </c>
      <c r="BJ33" s="244" t="str">
        <f>IF(ISNUMBER(BL33/BM33),BL33/BM33," - ")</f>
        <v xml:space="preserve"> - </v>
      </c>
      <c r="BK33" s="709"/>
      <c r="BL33" s="681">
        <f>IF(ISNUMBER(STDEV(BL8:BL30)),STDEV(BL8:BL30),"-")</f>
        <v>0.9907702069094757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4O/QutpuUoYWw2XtNFs9/hEi1LRMKf5gRdLKzRHiZrLSDqtQyR8Zj76gMPF1cxsmzhNp6MoHniF2CxAarH4UQ==" saltValue="7lsptzMJZdS//kKK52iR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MANACOR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112</v>
      </c>
      <c r="AA9" s="551" t="str">
        <f>IF(ISNUMBER(IF(J_V="SI",Datos!L9,Datos!L9+Datos!AB9)-IF(Monitorios="SI",Datos!CD9,0)),
                          IF(J_V="SI",Datos!L9,Datos!L9+Datos!AB9)-IF(Monitorios="SI",Datos!CD9,0),
                          " - ")</f>
        <v xml:space="preserve"> - </v>
      </c>
      <c r="AB9" s="549"/>
      <c r="AC9" s="549"/>
      <c r="AD9" s="563"/>
      <c r="AE9" s="563">
        <f>IF(ISNUMBER(Datos!R9),Datos!R9," - ")</f>
        <v>6694</v>
      </c>
      <c r="AF9" s="693" t="str">
        <f>IF(ISNUMBER(Datos!BV9),Datos!BV9," - ")</f>
        <v xml:space="preserve"> - </v>
      </c>
      <c r="AG9" s="552" t="str">
        <f>IF(ISNUMBER(Datos!DV9),Datos!DV9," - ")</f>
        <v xml:space="preserve"> - </v>
      </c>
      <c r="AH9" s="553"/>
      <c r="AI9" s="554"/>
      <c r="AJ9" s="552">
        <f>IF(ISNUMBER(Datos!M9),Datos!M9," - ")</f>
        <v>445</v>
      </c>
      <c r="AK9" s="693">
        <f>IF(ISNUMBER(Datos!N9),Datos!N9," - ")</f>
        <v>597</v>
      </c>
      <c r="AL9" s="693" t="str">
        <f>IF(ISNUMBER(Datos!BW9),Datos!BW9," - ")</f>
        <v xml:space="preserve"> - </v>
      </c>
      <c r="AM9" s="762" t="str">
        <f>IF(ISNUMBER(Datos!BX9),Datos!BX9," - ")</f>
        <v xml:space="preserve"> - </v>
      </c>
      <c r="AN9" s="763"/>
      <c r="AO9" s="764">
        <f>IF(ISNUMBER(((NºAsuntos!I9/NºAsuntos!G9)*11)/factor_trimestre),((NºAsuntos!I9/NºAsuntos!G9)*11)/factor_trimestre," - ")</f>
        <v>6.252390057361378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3.0638953040800616E-2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117</v>
      </c>
      <c r="G10" s="552">
        <f>IF(ISNUMBER(Datos!I10),Datos!I10," - ")</f>
        <v>117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0</v>
      </c>
      <c r="AA10" s="551">
        <f>IF(ISNUMBER(Datos!L10),Datos!L10,"-")</f>
        <v>131</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9</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20.684210526315788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0.11475409836065574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117</v>
      </c>
      <c r="G14" s="1197">
        <f>SUBTOTAL(9,G8:G13)</f>
        <v>117</v>
      </c>
      <c r="H14" s="1211"/>
      <c r="I14" s="1197">
        <f t="shared" ref="I14:N14" si="1">SUBTOTAL(9,I8:I13)</f>
        <v>0</v>
      </c>
      <c r="J14" s="1164">
        <f t="shared" si="1"/>
        <v>0</v>
      </c>
      <c r="K14" s="1211">
        <f t="shared" si="1"/>
        <v>0</v>
      </c>
      <c r="L14" s="1211">
        <f t="shared" si="1"/>
        <v>0</v>
      </c>
      <c r="M14" s="1211">
        <f t="shared" si="1"/>
        <v>0</v>
      </c>
      <c r="N14" s="1211">
        <f t="shared" si="1"/>
        <v>318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112</v>
      </c>
      <c r="AA14" s="1199">
        <f t="shared" si="3"/>
        <v>131</v>
      </c>
      <c r="AB14" s="1199">
        <f t="shared" si="3"/>
        <v>0</v>
      </c>
      <c r="AC14" s="1199">
        <f t="shared" si="3"/>
        <v>0</v>
      </c>
      <c r="AD14" s="1199">
        <f t="shared" si="3"/>
        <v>0</v>
      </c>
      <c r="AE14" s="1199">
        <f t="shared" si="3"/>
        <v>6773</v>
      </c>
      <c r="AF14" s="1211">
        <f t="shared" si="3"/>
        <v>0</v>
      </c>
      <c r="AG14" s="1211">
        <f t="shared" si="3"/>
        <v>0</v>
      </c>
      <c r="AH14" s="1211">
        <f t="shared" si="3"/>
        <v>0</v>
      </c>
      <c r="AI14" s="1211">
        <f t="shared" si="3"/>
        <v>0</v>
      </c>
      <c r="AJ14" s="1211">
        <f t="shared" si="3"/>
        <v>454</v>
      </c>
      <c r="AK14" s="1211">
        <f t="shared" si="3"/>
        <v>600</v>
      </c>
      <c r="AL14" s="1211">
        <f t="shared" si="3"/>
        <v>0</v>
      </c>
      <c r="AM14" s="1211">
        <f t="shared" si="3"/>
        <v>0</v>
      </c>
      <c r="AN14" s="1211">
        <f t="shared" si="3"/>
        <v>0</v>
      </c>
      <c r="AO14" s="1203">
        <f>IF(ISNUMBER(((NºAsuntos!I14/NºAsuntos!G14)*11)/factor_trimestre),((NºAsuntos!I14/NºAsuntos!G14)*11)/factor_trimestre," - ")</f>
        <v>6.4250629722921921</v>
      </c>
      <c r="AP14" s="1213" t="str">
        <f>IF(ISNUMBER(Datos!CI14/Datos!CJ14),Datos!CI14/Datos!CJ14," - ")</f>
        <v xml:space="preserve"> - </v>
      </c>
      <c r="AQ14" s="1236">
        <f t="shared" ref="AQ14:AV14" si="4">SUBTOTAL(9,AQ9:AQ13)</f>
        <v>0</v>
      </c>
      <c r="AR14" s="1236">
        <f t="shared" si="4"/>
        <v>0.14539305140145636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1542</v>
      </c>
      <c r="G16" s="552">
        <f>IF(ISNUMBER(IF(D_I="SI",Datos!I16,Datos!I16+Datos!AC16)),IF(D_I="SI",Datos!I16,Datos!I16+Datos!AC16)," - ")</f>
        <v>1525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2065</v>
      </c>
      <c r="Z16" s="805">
        <f>IF(ISNUMBER(Datos!Q16),Datos!Q16," - ")</f>
        <v>36</v>
      </c>
      <c r="AA16" s="551">
        <f>IF(ISNUMBER(IF(D_I="SI",Datos!L16,Datos!L16+Datos!AF16)),IF(D_I="SI",Datos!L16,Datos!L16+Datos!AF16)," - ")</f>
        <v>1390</v>
      </c>
      <c r="AB16" s="549"/>
      <c r="AC16" s="549"/>
      <c r="AD16" s="563"/>
      <c r="AE16" s="563">
        <f>IF(ISNUMBER(Datos!R16),Datos!R16," - ")</f>
        <v>240</v>
      </c>
      <c r="AF16" s="693" t="str">
        <f>IF(ISNUMBER(Datos!BV16),Datos!BV16," - ")</f>
        <v xml:space="preserve"> - </v>
      </c>
      <c r="AG16" s="552"/>
      <c r="AH16" s="553"/>
      <c r="AI16" s="554"/>
      <c r="AJ16" s="552">
        <f>IF(ISNUMBER(Datos!M16),Datos!M16," - ")</f>
        <v>187</v>
      </c>
      <c r="AK16" s="693">
        <f>IF(ISNUMBER(Datos!N16),Datos!N16," - ")</f>
        <v>1359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2.0193704600484264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346</v>
      </c>
      <c r="Z18" s="805">
        <f>IF(ISNUMBER(Datos!Q18),Datos!Q18," - ")</f>
        <v>6</v>
      </c>
      <c r="AA18" s="551">
        <f>IF(ISNUMBER(Datos!L18),Datos!L18,"-")</f>
        <v>290</v>
      </c>
      <c r="AB18" s="549"/>
      <c r="AC18" s="549"/>
      <c r="AD18" s="563"/>
      <c r="AE18" s="563">
        <f>IF(ISNUMBER(Datos!R18),Datos!R18," - ")</f>
        <v>24</v>
      </c>
      <c r="AF18" s="693" t="str">
        <f>IF(ISNUMBER(Datos!BV18),Datos!BV18," - ")</f>
        <v xml:space="preserve"> - </v>
      </c>
      <c r="AG18" s="552" t="str">
        <f>IF(ISNUMBER(Datos!DV18),Datos!DV18," - ")</f>
        <v xml:space="preserve"> - </v>
      </c>
      <c r="AH18" s="553"/>
      <c r="AI18" s="554"/>
      <c r="AJ18" s="552">
        <f>IF(ISNUMBER(Datos!M18),Datos!M18," - ")</f>
        <v>57</v>
      </c>
      <c r="AK18" s="693">
        <f>IF(ISNUMBER(Datos!N18),Datos!N18," - ")</f>
        <v>192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2.5144508670520231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1542</v>
      </c>
      <c r="G23" s="1197">
        <f>SUBTOTAL(9,G16:G22)</f>
        <v>1860</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2411</v>
      </c>
      <c r="Z23" s="1240">
        <f t="shared" si="6"/>
        <v>42</v>
      </c>
      <c r="AA23" s="1240">
        <f t="shared" si="6"/>
        <v>1680</v>
      </c>
      <c r="AB23" s="1240">
        <f t="shared" si="6"/>
        <v>0</v>
      </c>
      <c r="AC23" s="1240">
        <f t="shared" si="6"/>
        <v>0</v>
      </c>
      <c r="AD23" s="1240">
        <f t="shared" si="6"/>
        <v>0</v>
      </c>
      <c r="AE23" s="1240">
        <f t="shared" si="6"/>
        <v>264</v>
      </c>
      <c r="AF23" s="1240">
        <f t="shared" si="6"/>
        <v>0</v>
      </c>
      <c r="AG23" s="1240">
        <f t="shared" si="6"/>
        <v>0</v>
      </c>
      <c r="AH23" s="1240">
        <f t="shared" si="6"/>
        <v>0</v>
      </c>
      <c r="AI23" s="1240">
        <f t="shared" si="6"/>
        <v>0</v>
      </c>
      <c r="AJ23" s="1240">
        <f t="shared" si="6"/>
        <v>244</v>
      </c>
      <c r="AK23" s="1240">
        <f t="shared" si="6"/>
        <v>1551</v>
      </c>
      <c r="AL23" s="1240">
        <f t="shared" si="6"/>
        <v>0</v>
      </c>
      <c r="AM23" s="1240">
        <f t="shared" si="6"/>
        <v>0</v>
      </c>
      <c r="AN23" s="1240">
        <f t="shared" si="6"/>
        <v>0</v>
      </c>
      <c r="AO23" s="1242">
        <f>IF(ISNUMBER(((NºAsuntos!I23/NºAsuntos!G23)*11)/factor_trimestre),((NºAsuntos!I23/NºAsuntos!G23)*11)/factor_trimestre," - ")</f>
        <v>2.0904189133139779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1659</v>
      </c>
      <c r="G31" s="1117">
        <f t="shared" si="12"/>
        <v>1977</v>
      </c>
      <c r="H31" s="1118">
        <f t="shared" si="12"/>
        <v>0</v>
      </c>
      <c r="I31" s="1117">
        <f t="shared" si="12"/>
        <v>0</v>
      </c>
      <c r="J31" s="1119">
        <f t="shared" si="12"/>
        <v>0</v>
      </c>
      <c r="K31" s="1117">
        <f t="shared" si="12"/>
        <v>0</v>
      </c>
      <c r="L31" s="1120">
        <f t="shared" si="12"/>
        <v>0</v>
      </c>
      <c r="M31" s="1117">
        <f t="shared" si="12"/>
        <v>0</v>
      </c>
      <c r="N31" s="1118">
        <f t="shared" si="12"/>
        <v>358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2430</v>
      </c>
      <c r="Z31" s="1124">
        <f t="shared" si="13"/>
        <v>154</v>
      </c>
      <c r="AA31" s="1125">
        <f t="shared" si="13"/>
        <v>1811</v>
      </c>
      <c r="AB31" s="1125">
        <f t="shared" si="13"/>
        <v>0</v>
      </c>
      <c r="AC31" s="1125">
        <f t="shared" si="13"/>
        <v>0</v>
      </c>
      <c r="AD31" s="1126">
        <f t="shared" si="13"/>
        <v>0</v>
      </c>
      <c r="AE31" s="1126">
        <f t="shared" si="13"/>
        <v>7037</v>
      </c>
      <c r="AF31" s="1127">
        <f t="shared" si="13"/>
        <v>0</v>
      </c>
      <c r="AG31" s="1128">
        <f t="shared" si="13"/>
        <v>0</v>
      </c>
      <c r="AH31" s="1129">
        <f t="shared" si="13"/>
        <v>0</v>
      </c>
      <c r="AI31" s="1127">
        <f t="shared" si="13"/>
        <v>0</v>
      </c>
      <c r="AJ31" s="1117">
        <f t="shared" si="13"/>
        <v>698</v>
      </c>
      <c r="AK31" s="1117">
        <f t="shared" si="13"/>
        <v>2151</v>
      </c>
      <c r="AL31" s="1117">
        <f t="shared" si="13"/>
        <v>0</v>
      </c>
      <c r="AM31" s="1130">
        <f t="shared" si="13"/>
        <v>0</v>
      </c>
      <c r="AN31" s="1120">
        <f>IF(ISNUMBER(Datos!K31/Datos!J31),Datos!K31/Datos!J31," - ")</f>
        <v>1.0324919441460796</v>
      </c>
      <c r="AO31" s="1120">
        <f>IF(ISNUMBER(FIND("06",Criterios!A8,1)),(IF(ISNUMBER(((Datos!R31/Datos!Q31)*11)/factor_trimestre),((Datos!R31/Datos!Q31)*11)/factor_trimestre," - ")),(IF(ISNUMBER(((Datos!L31/Datos!K31)*11)/factor_trimestre),((Datos!L31/Datos!K31)*11)/factor_trimestre," - ")))</f>
        <v>3.8964889466840056</v>
      </c>
      <c r="AP31" s="1131" t="str">
        <f>IF(ISNUMBER(Datos!CI31/Datos!CJ31),Datos!CI31/Datos!CJ31," - ")</f>
        <v xml:space="preserve"> - </v>
      </c>
      <c r="AQ31" s="1131">
        <f>IF(OR(ISNUMBER(FIND("01",Criterios!A8,1)),ISNUMBER(FIND("02",Criterios!A8,1)),ISNUMBER(FIND("03",Criterios!A8,1)),ISNUMBER(FIND("04",Criterios!A8,1))),(J31-Y31+K31)/(F31-K31),(I31-Y31+K31)/(F31-K31))</f>
        <v>-1.4647377938517179</v>
      </c>
      <c r="AR31" s="1131">
        <f>IF(ISNUMBER((Datos!P31-Datos!Q31+O31)/(Datos!R31-Datos!P31+Datos!Q31-O31)),(Datos!P31-Datos!Q31+O31)/(Datos!R31-Datos!P31+Datos!Q31-O31)," - ")</f>
        <v>2.9855114883652861E-2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767.8609249076294</v>
      </c>
      <c r="G33" s="674">
        <f>IF(ISNUMBER(STDEV(G8:G30)),STDEV(G8:G30),"-")</f>
        <v>784.36628955512629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188.89179736322885</v>
      </c>
      <c r="AK33" s="276"/>
      <c r="AL33" s="276">
        <f>IF(ISNUMBER(STDEV(AL8:AL30)),STDEV(AL8:AL30),"-")</f>
        <v>0</v>
      </c>
      <c r="AM33" s="278">
        <f>IF(ISNUMBER(STDEV(AM8:AM30)),STDEV(AM8:AM30),"-")</f>
        <v>0</v>
      </c>
      <c r="AN33" s="660">
        <f>IF(ISNUMBER(STDEV(AN8:AN30)),STDEV(AN8:AN30),"-")</f>
        <v>0</v>
      </c>
      <c r="AO33" s="661">
        <f>IF(ISNUMBER(STDEV(AO8:AO30)),STDEV(AO8:AO30),"-")</f>
        <v>7.1624269877306732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MvuojNpgKJnXxzfHh30/buBMGK2TsPJZiPEC+KBiL5pvM9RRdqahh08FbgsWQofMtzcu1K28iQz5a+EjcomZQ==" saltValue="WzitlUUWFYJJdWnHICtA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lj8OxJI2zV9sT0o2sgjkSGd9pz6mQZq8K40yYsbCIbGiSsiyGkRVENz2Bs3agU0U3fimGv2vnHOOPa8M0iUrA==" saltValue="VwhpxxaYsomo5nnUw5Vq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V4ZZUBUJPLhhRmRStTHdoF+i4LegVSF+gjBJLoIzFHUsIHL72aRG8DcUKrlRL5A2s0G3Cp/YR6hOh4OE6jxw==" saltValue="cCZA2hHkRZA/x9CdDn5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MANACOR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0.2858942065491184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0.20215773215282909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5DQ4/zgJ1GA7872ptsbe+jeDxuj/wFd17Cl0/D4KYdDAg96sqQpc8JokW6iqsQ0+0LZkAaOemZVcsRKH/lj/Q==" saltValue="Hh35V8PdUw91P3qWHvwA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o1CURO6jX/yh64NbaIUnJBlbG5YHsh/+woyWSZ38CR1I/z3EA8dydvL53UzpvNFi6Gm9Wia5Wz6NWPJJtN2kw==" saltValue="aOZXGsL0wwL2KRCn6spj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MANACOR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3247</v>
      </c>
      <c r="D9" s="452">
        <f>IF(ISNUMBER(C9/Datos!BH9),C9/Datos!BH9," - ")</f>
        <v>649.4</v>
      </c>
      <c r="E9" s="451">
        <f>IF(ISNUMBER(IF(J_V="SI",Datos!J9,Datos!J9+Datos!Z9)),IF(J_V="SI",Datos!J9,Datos!J9+Datos!Z9)," - ")</f>
        <v>1592</v>
      </c>
      <c r="F9" s="452">
        <f>IF(ISNUMBER(E9/B9),E9/B9," - ")</f>
        <v>318.39999999999998</v>
      </c>
      <c r="G9" s="451">
        <f>IF(ISNUMBER(IF(J_V="SI",Datos!K9,Datos!K9+Datos!AA9)),IF(J_V="SI",Datos!K9,Datos!K9+Datos!AA9)," - ")</f>
        <v>1569</v>
      </c>
      <c r="H9" s="452">
        <f>IF(ISNUMBER(G9/B9),G9/B9," - ")</f>
        <v>313.8</v>
      </c>
      <c r="I9" s="451">
        <f>IF(ISNUMBER(IF(J_V="SI",Datos!L9,Datos!L9+Datos!AB9)),IF(J_V="SI",Datos!L9,Datos!L9+Datos!AB9)," - ")</f>
        <v>3270</v>
      </c>
      <c r="J9" s="452">
        <f>IF(ISNUMBER(I9/B9),I9/B9," - ")</f>
        <v>654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117</v>
      </c>
      <c r="D10" s="452">
        <f>IF(ISNUMBER(C10/Datos!BH10),C10/Datos!BH10," - ")</f>
        <v>117</v>
      </c>
      <c r="E10" s="451">
        <f>IF(ISNUMBER(Datos!J10),Datos!J10," - ")</f>
        <v>33</v>
      </c>
      <c r="F10" s="452">
        <f>IF(ISNUMBER(E10/B10),E10/B10," - ")</f>
        <v>33</v>
      </c>
      <c r="G10" s="451">
        <f>IF(ISNUMBER(Datos!K10),Datos!K10," - ")</f>
        <v>19</v>
      </c>
      <c r="H10" s="452">
        <f>IF(ISNUMBER(G10/B10),G10/B10," - ")</f>
        <v>19</v>
      </c>
      <c r="I10" s="451">
        <f>IF(ISNUMBER(Datos!L10),Datos!L10," - ")</f>
        <v>131</v>
      </c>
      <c r="J10" s="452">
        <f>IF(ISNUMBER(I10/B10),I10/B10," - ")</f>
        <v>131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3364</v>
      </c>
      <c r="D14" s="1147" t="str">
        <f>IF(ISNUMBER(C14/Datos!BI14),C14/Datos!BI14," - ")</f>
        <v xml:space="preserve"> - </v>
      </c>
      <c r="E14" s="1146">
        <f>SUBTOTAL(9,E8:E13)</f>
        <v>1625</v>
      </c>
      <c r="F14" s="1147">
        <f>IF(ISNUMBER(E14/B14),E14/B14," - ")</f>
        <v>325</v>
      </c>
      <c r="G14" s="1146">
        <f>SUBTOTAL(9,G8:G13)</f>
        <v>1588</v>
      </c>
      <c r="H14" s="1147">
        <f>IF(ISNUMBER(G14/B14),G14/B14," - ")</f>
        <v>317.60000000000002</v>
      </c>
      <c r="I14" s="1146">
        <f>SUBTOTAL(9,I8:I13)</f>
        <v>3401</v>
      </c>
      <c r="J14" s="1147">
        <f>IF(ISNUMBER(I14/B14),I14/B14," - ")</f>
        <v>680.2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1525</v>
      </c>
      <c r="D16" s="452">
        <f>IF(ISNUMBER(C16/Datos!BH16),C16/Datos!BH16," - ")</f>
        <v>508.33333333333331</v>
      </c>
      <c r="E16" s="451">
        <f>IF(ISNUMBER(IF(D_I="SI",Datos!J16,Datos!J16+Datos!AD16)),IF(D_I="SI",Datos!J16,Datos!J16+Datos!AD16)," - ")</f>
        <v>1913</v>
      </c>
      <c r="F16" s="452">
        <f>IF(ISNUMBER(E16/B16),E16/B16," - ")</f>
        <v>637.66666666666663</v>
      </c>
      <c r="G16" s="451">
        <f>IF(ISNUMBER(IF(D_I="SI",Datos!K16,Datos!K16+Datos!AE16)),IF(D_I="SI",Datos!K16,Datos!K16+Datos!AE16)," - ")</f>
        <v>2065</v>
      </c>
      <c r="H16" s="452">
        <f>IF(ISNUMBER(G16/B16),G16/B16," - ")</f>
        <v>688.33333333333337</v>
      </c>
      <c r="I16" s="451">
        <f>IF(ISNUMBER(IF(D_I="SI",Datos!L16,Datos!L16+Datos!AF16)),IF(D_I="SI",Datos!L16,Datos!L16+Datos!AF16)," - ")</f>
        <v>1390</v>
      </c>
      <c r="J16" s="452">
        <f>IF(ISNUMBER(I16/B16),I16/B16," - ")</f>
        <v>463.33333333333331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335</v>
      </c>
      <c r="D18" s="452">
        <f>IF(ISNUMBER(C18/Datos!BH18),C18/Datos!BH18," - ")</f>
        <v>335</v>
      </c>
      <c r="E18" s="451">
        <f>IF(ISNUMBER(IF(D_I="SI",Datos!J18,Datos!J18+Datos!AD18)),IF(D_I="SI",Datos!J18,Datos!J18+Datos!AD18)," - ")</f>
        <v>301</v>
      </c>
      <c r="F18" s="452">
        <f>IF(ISNUMBER(E18/B18),E18/B18," - ")</f>
        <v>301</v>
      </c>
      <c r="G18" s="451">
        <f>IF(ISNUMBER(IF(D_I="SI",Datos!K18,Datos!K18+Datos!AE18)),IF(D_I="SI",Datos!K18,Datos!K18+Datos!AE18)," - ")</f>
        <v>346</v>
      </c>
      <c r="H18" s="452">
        <f>IF(ISNUMBER(G18/B18),G18/B18," - ")</f>
        <v>346</v>
      </c>
      <c r="I18" s="451">
        <f>IF(ISNUMBER(IF(D_I="SI",Datos!L18,Datos!L18+Datos!AF18)),IF(D_I="SI",Datos!L18,Datos!L18+Datos!AF18)," - ")</f>
        <v>290</v>
      </c>
      <c r="J18" s="452">
        <f>IF(ISNUMBER(I18/B18),I18/B18," - ")</f>
        <v>290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1860</v>
      </c>
      <c r="D23" s="1147" t="str">
        <f>IF(ISNUMBER(C23/Datos!BI23),C23/Datos!BI23," - ")</f>
        <v xml:space="preserve"> - </v>
      </c>
      <c r="E23" s="1146">
        <f>SUBTOTAL(9,E15:E22)</f>
        <v>2214</v>
      </c>
      <c r="F23" s="1147">
        <f>IF(ISNUMBER(E23/B23),E23/B23," - ")</f>
        <v>738</v>
      </c>
      <c r="G23" s="1146">
        <f>SUBTOTAL(9,G15:G22)</f>
        <v>2411</v>
      </c>
      <c r="H23" s="1147">
        <f>IF(ISNUMBER(G23/B23),G23/B23," - ")</f>
        <v>803.66666666666663</v>
      </c>
      <c r="I23" s="1146">
        <f>SUBTOTAL(9,I15:I22)</f>
        <v>1680</v>
      </c>
      <c r="J23" s="1147">
        <f>IF(ISNUMBER(I23/B23),I23/B23," - ")</f>
        <v>560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5224</v>
      </c>
      <c r="D31" s="1085" t="str">
        <f>IF(ISNUMBER(C31/Datos!BI31),C31/Datos!BI31," - ")</f>
        <v xml:space="preserve"> - </v>
      </c>
      <c r="E31" s="1084">
        <f>SUBTOTAL(9,E9:E30)</f>
        <v>3839</v>
      </c>
      <c r="F31" s="1085">
        <f>IF(ISNUMBER(E31/B31),E31/B31," - ")</f>
        <v>479.875</v>
      </c>
      <c r="G31" s="1084">
        <f>SUBTOTAL(9,G9:G30)</f>
        <v>3999</v>
      </c>
      <c r="H31" s="1085">
        <f>IF(ISNUMBER(G31/B31),G31/B31," - ")</f>
        <v>499.875</v>
      </c>
      <c r="I31" s="1084">
        <f>SUBTOTAL(9,I9:I30)</f>
        <v>5081</v>
      </c>
      <c r="J31" s="1085">
        <f>IF(ISNUMBER(I31/B31),I31/B31," - ")</f>
        <v>635.125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RmKisyZUxQ6W/JdQSorbyEelxQDOMqduIx/Zd02pjjeO9VLBbrdeKXqENg0DJ3tyL/iGmuA2xoypMNyHBRLCg==" saltValue="Tl1pIkrmQHMo0pJl6Hbk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MANACOR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117</v>
      </c>
      <c r="G10" s="906">
        <f>IF(ISNUMBER(Datos!I10),Datos!I10," - ")</f>
        <v>117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131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20.684210526315788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117</v>
      </c>
      <c r="G14" s="1256">
        <f t="shared" si="0"/>
        <v>117</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0</v>
      </c>
      <c r="AE14" s="1257">
        <f t="shared" si="1"/>
        <v>0</v>
      </c>
      <c r="AF14" s="1257">
        <f t="shared" si="1"/>
        <v>131</v>
      </c>
      <c r="AG14" s="1257">
        <f t="shared" si="1"/>
        <v>0</v>
      </c>
      <c r="AH14" s="1257">
        <f t="shared" si="1"/>
        <v>11</v>
      </c>
      <c r="AI14" s="1257">
        <f t="shared" si="1"/>
        <v>0</v>
      </c>
      <c r="AJ14" s="1257">
        <f t="shared" si="1"/>
        <v>0</v>
      </c>
      <c r="AK14" s="1257">
        <f t="shared" si="1"/>
        <v>0</v>
      </c>
      <c r="AL14" s="1257">
        <f t="shared" si="1"/>
        <v>9</v>
      </c>
      <c r="AM14" s="1257">
        <f t="shared" si="1"/>
        <v>3</v>
      </c>
      <c r="AN14" s="1257">
        <f t="shared" si="1"/>
        <v>0</v>
      </c>
      <c r="AO14" s="1257">
        <f t="shared" si="1"/>
        <v>0</v>
      </c>
      <c r="AP14" s="1262">
        <f>IF(ISNUMBER(((Datos!L14/Datos!K14)*11)/factor_trimestre),((Datos!L14/Datos!K14)*11)/factor_trimestre," - ")</f>
        <v>6.93305439330544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-0.1623931623931624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2.0904189133139779</v>
      </c>
      <c r="AQ23" s="1262">
        <f>IF(ISNUMBER(((Datos!M23/Datos!L23)*11)/factor_trimestre),((Datos!M23/Datos!L23)*11)/factor_trimestre," - ")</f>
        <v>0.43571428571428578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-7.5187969924812026E-3</v>
      </c>
      <c r="AW23" s="1265">
        <f>IF(ISNUMBER((Datos!Q23-Datos!R23)/(Datos!S23-Datos!Q23+Datos!R23)),(Datos!Q23-Datos!R23)/(Datos!S23-Datos!Q23+Datos!R23)," - ")</f>
        <v>-7.7324973876698011E-2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117</v>
      </c>
      <c r="G31" s="1278">
        <f t="shared" si="8"/>
        <v>117</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0</v>
      </c>
      <c r="AE31" s="1284">
        <f t="shared" si="9"/>
        <v>0</v>
      </c>
      <c r="AF31" s="1285">
        <f t="shared" si="9"/>
        <v>131</v>
      </c>
      <c r="AG31" s="1285">
        <f t="shared" si="9"/>
        <v>0</v>
      </c>
      <c r="AH31" s="1285">
        <f t="shared" si="9"/>
        <v>11</v>
      </c>
      <c r="AI31" s="1285">
        <f t="shared" si="9"/>
        <v>0</v>
      </c>
      <c r="AJ31" s="1286">
        <f t="shared" si="9"/>
        <v>0</v>
      </c>
      <c r="AK31" s="1286">
        <f t="shared" si="9"/>
        <v>0</v>
      </c>
      <c r="AL31" s="1278">
        <f t="shared" si="9"/>
        <v>9</v>
      </c>
      <c r="AM31" s="1278">
        <f t="shared" si="9"/>
        <v>3</v>
      </c>
      <c r="AN31" s="1278">
        <f t="shared" si="9"/>
        <v>0</v>
      </c>
      <c r="AO31" s="1278">
        <f t="shared" si="9"/>
        <v>0</v>
      </c>
      <c r="AP31" s="1278">
        <f>IF(ISNUMBER(((Datos!L31/Datos!K31)*11)/factor_trimestre),((Datos!L31/Datos!K31)*11)/factor_trimestre," - ")</f>
        <v>3.8964889466840056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-0.1623931623931624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2.9855114883652861E-2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64.083539228104428</v>
      </c>
      <c r="G33" s="1007">
        <f>IF(ISNUMBER(STDEV(G8:G30)),STDEV(G8:G30),"-")</f>
        <v>64.083539228104428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9.6460224957771796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mQdTrzca32dgyxaXNi/ZZNJVLzcTkIE/cXtNDt72JODSY9FQdXSpHeYorDRtPmaPSt1EvP2/Eyl+0nYjYtGVw==" saltValue="PA9nxQs8c30iI+0JV+zw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MANACOR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YwdtPLm9mTojBLs6FnyD97SOY4xjo4QCss15j+SRGSRpApnvcZ0fAN/T+HWdLgZUynBXYJA8rP+OVkVGGkBxw==" saltValue="W1CQvEabGpotmiTgNeC8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MANACOR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445</v>
      </c>
      <c r="E9" s="452">
        <f t="shared" ref="E9:E14" si="0">IF(ISNUMBER(D9/B9),D9/B9," - ")</f>
        <v>89</v>
      </c>
      <c r="F9" s="451">
        <f>IF(ISNUMBER(Datos!N9),Datos!N9," - ")</f>
        <v>597</v>
      </c>
      <c r="G9" s="452">
        <f t="shared" ref="G9:G14" si="1">IF(ISNUMBER(F9/B9),F9/B9," - ")</f>
        <v>119.4</v>
      </c>
      <c r="H9" s="451">
        <f>IF(ISNUMBER(Datos!O9),Datos!O9," - ")</f>
        <v>542</v>
      </c>
      <c r="I9" s="452">
        <f>IF(ISNUMBER(H9/B9),H9/B9," - ")</f>
        <v>108.4</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3</v>
      </c>
      <c r="G10" s="452">
        <f>IF(ISNUMBER(F10/B10),F10/B10," - ")</f>
        <v>3</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454</v>
      </c>
      <c r="E14" s="1147">
        <f t="shared" si="0"/>
        <v>75.666666666666671</v>
      </c>
      <c r="F14" s="1146">
        <f>SUBTOTAL(9,F9:F13)</f>
        <v>600</v>
      </c>
      <c r="G14" s="1147">
        <f t="shared" si="1"/>
        <v>100</v>
      </c>
      <c r="H14" s="1146">
        <f>SUBTOTAL(9,H9:H13)</f>
        <v>549</v>
      </c>
      <c r="I14" s="1147">
        <f>IF(ISNUMBER(H14/B14),H14/B14," - ")</f>
        <v>91.5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187</v>
      </c>
      <c r="E16" s="452">
        <f t="shared" ref="E16:E23" si="3">IF(ISNUMBER(D16/B16),D16/B16," - ")</f>
        <v>62.333333333333336</v>
      </c>
      <c r="F16" s="451">
        <f>IF(ISNUMBER(Datos!N16),Datos!N16," - ")</f>
        <v>1359</v>
      </c>
      <c r="G16" s="452">
        <f t="shared" ref="G16:G23" si="4">IF(ISNUMBER(F16/B16),F16/B16," - ")</f>
        <v>453</v>
      </c>
      <c r="H16" s="451">
        <f>IF(ISNUMBER(Datos!O16),Datos!O16," - ")</f>
        <v>33</v>
      </c>
      <c r="I16" s="452">
        <f t="shared" ref="I16:I22" si="5">IF(ISNUMBER(H16/B16),H16/B16," - ")</f>
        <v>11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57</v>
      </c>
      <c r="E18" s="452">
        <f>IF(ISNUMBER(D18/B18),D18/B18," - ")</f>
        <v>57</v>
      </c>
      <c r="F18" s="451">
        <f>IF(ISNUMBER(Datos!N18),Datos!N18," - ")</f>
        <v>192</v>
      </c>
      <c r="G18" s="452">
        <f>IF(ISNUMBER(F18/B18),F18/B18," - ")</f>
        <v>192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244</v>
      </c>
      <c r="E23" s="1147">
        <f t="shared" si="3"/>
        <v>61</v>
      </c>
      <c r="F23" s="1146">
        <f>SUBTOTAL(9,F16:F22)</f>
        <v>1551</v>
      </c>
      <c r="G23" s="1147">
        <f t="shared" si="4"/>
        <v>387.75</v>
      </c>
      <c r="H23" s="1146">
        <f>SUBTOTAL(9,H16:H22)</f>
        <v>33</v>
      </c>
      <c r="I23" s="1147">
        <f>IF(ISNUMBER(H23/B23),H23/B23," - ")</f>
        <v>8.25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698</v>
      </c>
      <c r="E31" s="1085">
        <f>IF(ISNUMBER(D31/B31),D31/B31," - ")</f>
        <v>87.25</v>
      </c>
      <c r="F31" s="1084">
        <f>SUBTOTAL(9,F8:F30)</f>
        <v>2151</v>
      </c>
      <c r="G31" s="1085">
        <f>IF(ISNUMBER(F31/B31),F31/B31," - ")</f>
        <v>268.875</v>
      </c>
      <c r="H31" s="1084">
        <f>SUBTOTAL(9,H8:H30)</f>
        <v>582</v>
      </c>
      <c r="I31" s="1085">
        <f>IF(ISNUMBER(H31/B31),H31/B31," - ")</f>
        <v>72.75</v>
      </c>
    </row>
    <row r="34" spans="1:1">
      <c r="A34" s="439" t="str">
        <f>Criterios!A4</f>
        <v>Fecha Informe: 05 may. 2023</v>
      </c>
    </row>
    <row r="39" spans="1:1">
      <c r="A39" s="462"/>
    </row>
  </sheetData>
  <sheetProtection algorithmName="SHA-512" hashValue="86qvJDAIvykB2V9Ug/bCVv88AS5dsicvmKsDeKyWYgoxv1QVhRBqxoqdl+Y8sOH/Y+D8QfgSaI0MAQgVNhlZ8Q==" saltValue="LH+Iv9dYuPXsml/H5MjL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MANACOR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311</v>
      </c>
      <c r="C9" s="489">
        <f>IF(ISNUMBER(Datos!Q9),Datos!Q9," - ")</f>
        <v>112</v>
      </c>
      <c r="D9" s="456">
        <f>IF(ISNUMBER(Datos!R9),Datos!R9," - ")</f>
        <v>6694</v>
      </c>
    </row>
    <row r="10" spans="1:4">
      <c r="A10" s="450" t="str">
        <f>Datos!A10</f>
        <v>Jdos. Violencia contra la mujer</v>
      </c>
      <c r="B10" s="488">
        <f>IF(ISNUMBER(Datos!P10),Datos!P10," - ")</f>
        <v>7</v>
      </c>
      <c r="C10" s="489">
        <f>IF(ISNUMBER(Datos!Q10),Datos!Q10," - ")</f>
        <v>0</v>
      </c>
      <c r="D10" s="456">
        <f>IF(ISNUMBER(Datos!R10),Datos!R10," - ")</f>
        <v>68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318</v>
      </c>
      <c r="C14" s="1150">
        <f>SUBTOTAL(9,C9:C13)</f>
        <v>112</v>
      </c>
      <c r="D14" s="1148">
        <f>SUBTOTAL(9,D9:D13)</f>
        <v>6773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35</v>
      </c>
      <c r="C16" s="489">
        <f>IF(ISNUMBER(Datos!Q16),Datos!Q16," - ")</f>
        <v>36</v>
      </c>
      <c r="D16" s="456">
        <f>IF(ISNUMBER(Datos!R16),Datos!R16," - ")</f>
        <v>240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6</v>
      </c>
      <c r="D18" s="456">
        <f>IF(ISNUMBER(Datos!R18),Datos!R18," - ")</f>
        <v>24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42</v>
      </c>
      <c r="D23" s="1148">
        <f>SUBTOTAL(9,D16:D22)</f>
        <v>264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358</v>
      </c>
      <c r="C31" s="1089">
        <f>SUBTOTAL(9,C8:C30)</f>
        <v>154</v>
      </c>
      <c r="D31" s="1090">
        <f>SUBTOTAL(9,D8:D30)</f>
        <v>7037</v>
      </c>
    </row>
    <row r="32" spans="1:4" ht="7.5" customHeight="1"/>
    <row r="33" spans="1:1" ht="6" customHeight="1"/>
    <row r="34" spans="1:1">
      <c r="A34" s="439" t="str">
        <f>Criterios!A4</f>
        <v>Fecha Informe: 05 may. 2023</v>
      </c>
    </row>
    <row r="39" spans="1:1">
      <c r="A39" s="462"/>
    </row>
  </sheetData>
  <sheetProtection algorithmName="SHA-512" hashValue="cU8nrkUnYUmkzysTwJKj3ao/ewTG2l/b9+zT38lrFt1Kw7cWCDostplSHw6DyE647lL/0xJ42c4cbRbGCE+oNg==" saltValue="vZNlNRSUM/zxdGSR2Z0G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MANACOR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0.17474674384949349</v>
      </c>
      <c r="C9" s="515">
        <f>IF(ISNUMBER(
   IF(J_V="SI",(Datos!J9-Datos!T9)/Datos!T9,(Datos!J9+Datos!Z9-(Datos!T9+Datos!AH9))/(Datos!T9+Datos!AH9))
     ),IF(J_V="SI",(Datos!J9-Datos!T9)/Datos!T9,(Datos!J9+Datos!Z9-(Datos!T9+Datos!AH9))/(Datos!T9+Datos!AH9))," - ")</f>
        <v>1.015228426395939E-2</v>
      </c>
      <c r="D9" s="515">
        <f>IF(ISNUMBER(
   IF(J_V="SI",(Datos!K9-Datos!U9)/Datos!U9,(Datos!K9+Datos!AA9-(Datos!U9+Datos!AI9))/(Datos!U9+Datos!AI9))
     ),IF(J_V="SI",(Datos!K9-Datos!U9)/Datos!U9,(Datos!K9+Datos!AA9-(Datos!U9+Datos!AI9))/(Datos!U9+Datos!AI9))," - ")</f>
        <v>-1.8761726078799251E-2</v>
      </c>
      <c r="E9" s="515">
        <f>IF(ISNUMBER(
   IF(J_V="SI",(Datos!L9-Datos!V9)/Datos!V9,(Datos!L9+Datos!AB9-(Datos!V9+Datos!AJ9))/(Datos!V9+Datos!AJ9))
     ),IF(J_V="SI",(Datos!L9-Datos!V9)/Datos!V9,(Datos!L9+Datos!AB9-(Datos!V9+Datos!AJ9))/(Datos!V9+Datos!AJ9))," - ")</f>
        <v>0.19430241051862673</v>
      </c>
      <c r="F9" s="515">
        <f>IF(ISNUMBER((Datos!M9-Datos!W9)/Datos!W9),(Datos!M9-Datos!W9)/Datos!W9," - ")</f>
        <v>0.2361111111111111</v>
      </c>
      <c r="G9" s="516">
        <f>IF(ISNUMBER((Datos!N9-Datos!X9)/Datos!X9),(Datos!N9-Datos!X9)/Datos!X9," - ")</f>
        <v>0.14149139579349904</v>
      </c>
      <c r="H9" s="514">
        <f>IF(ISNUMBER(((NºAsuntos!G9/NºAsuntos!E9)-Datos!BD9)/Datos!BD9),((NºAsuntos!G9/NºAsuntos!E9)-Datos!BD9)/Datos!BD9," - ")</f>
        <v>-2.8623417273987085E-2</v>
      </c>
      <c r="I9" s="515">
        <f>IF(ISNUMBER(((NºAsuntos!I9/NºAsuntos!G9)-Datos!BE9)/Datos!BE9),((NºAsuntos!I9/NºAsuntos!G9)-Datos!BE9)/Datos!BE9," - ")</f>
        <v>0.21713802066238644</v>
      </c>
      <c r="J9" s="521">
        <f>IF(ISNUMBER((('Resol  Asuntos'!D9/NºAsuntos!G9)-Datos!BF9)/Datos!BF9),(('Resol  Asuntos'!D9/NºAsuntos!G9)-Datos!BF9)/Datos!BF9," - ")</f>
        <v>-0.13287073765487392</v>
      </c>
      <c r="K9" s="522">
        <f>IF(ISNUMBER((((NºAsuntos!C9+NºAsuntos!E9)/NºAsuntos!G9)-Datos!BG9)/Datos!BG9),(((NºAsuntos!C9+NºAsuntos!E9)/NºAsuntos!G9)-Datos!BG9)/Datos!BG9," - ")</f>
        <v>0.13629582962525669</v>
      </c>
    </row>
    <row r="10" spans="1:11">
      <c r="A10" s="450" t="str">
        <f>Datos!A10</f>
        <v>Jdos. Violencia contra la mujer</v>
      </c>
      <c r="B10" s="514">
        <f>IF(ISNUMBER((Datos!I10-Datos!S10)/Datos!S10),(Datos!I10-Datos!S10)/Datos!S10," - ")</f>
        <v>0.24468085106382978</v>
      </c>
      <c r="C10" s="515">
        <f>IF(ISNUMBER((Datos!J10-Datos!T10)/Datos!T10),(Datos!J10-Datos!T10)/Datos!T10," - ")</f>
        <v>0.43478260869565216</v>
      </c>
      <c r="D10" s="515">
        <f>IF(ISNUMBER((Datos!K10-Datos!U10)/Datos!U10),(Datos!K10-Datos!U10)/Datos!U10," - ")</f>
        <v>0.58333333333333337</v>
      </c>
      <c r="E10" s="515">
        <f>IF(ISNUMBER((Datos!L10-Datos!V10)/Datos!V10),(Datos!L10-Datos!V10)/Datos!V10," - ")</f>
        <v>0.24761904761904763</v>
      </c>
      <c r="F10" s="515">
        <f>IF(ISNUMBER((Datos!M10-Datos!W10)/Datos!W10),(Datos!M10-Datos!W10)/Datos!W10," - ")</f>
        <v>0</v>
      </c>
      <c r="G10" s="516">
        <f>IF(ISNUMBER((Datos!N10-Datos!X10)/Datos!X10),(Datos!N10-Datos!X10)/Datos!X10," - ")</f>
        <v>2</v>
      </c>
      <c r="H10" s="514">
        <f>IF(ISNUMBER(((NºAsuntos!G10/NºAsuntos!E10)-Datos!BD10)/Datos!BD10),((NºAsuntos!G10/NºAsuntos!E10)-Datos!BD10)/Datos!BD10," - ")</f>
        <v>0.10353535353535365</v>
      </c>
      <c r="I10" s="515">
        <f>IF(ISNUMBER(((NºAsuntos!I10/NºAsuntos!G10)-Datos!BE10)/Datos!BE10),((NºAsuntos!I10/NºAsuntos!G10)-Datos!BE10)/Datos!BE10," - ")</f>
        <v>-0.21203007518796996</v>
      </c>
      <c r="J10" s="521">
        <f>IF(ISNUMBER((('Resol  Asuntos'!D10/NºAsuntos!G10)-Datos!BF10)/Datos!BF10),(('Resol  Asuntos'!D10/NºAsuntos!G10)-Datos!BF10)/Datos!BF10," - ")</f>
        <v>-0.36842105263157898</v>
      </c>
      <c r="K10" s="522">
        <f>IF(ISNUMBER((((NºAsuntos!C10+NºAsuntos!E10)/NºAsuntos!G10)-Datos!BG10)/Datos!BG10),(((NºAsuntos!C10+NºAsuntos!E10)/NºAsuntos!G10)-Datos!BG10)/Datos!BG10," - ")</f>
        <v>-0.19028340080971665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0.1713091922005571</v>
      </c>
      <c r="C14" s="1152">
        <f>IF(ISNUMBER(
   IF(J_V="SI",(Datos!J14-Datos!T14)/Datos!T14,(Datos!J14+Datos!Z14-(Datos!T14+Datos!AH14))/(Datos!T14+Datos!AH14))
     ),IF(J_V="SI",(Datos!J14-Datos!T14)/Datos!T14,(Datos!J14+Datos!Z14-(Datos!T14+Datos!AH14))/(Datos!T14+Datos!AH14))," - ")</f>
        <v>1.6260162601626018E-2</v>
      </c>
      <c r="D14" s="1152">
        <f>IF(ISNUMBER(
   IF(J_V="SI",(Datos!K14-Datos!U14)/Datos!U14,(Datos!K14+Datos!AA14-(Datos!U14+Datos!AI14))/(Datos!U14+Datos!AI14))
     ),IF(J_V="SI",(Datos!K14-Datos!U14)/Datos!U14,(Datos!K14+Datos!AA14-(Datos!U14+Datos!AI14))/(Datos!U14+Datos!AI14))," - ")</f>
        <v>-1.4276846679081317E-2</v>
      </c>
      <c r="E14" s="1152">
        <f>IF(ISNUMBER(
   IF(J_V="SI",(Datos!L14-Datos!V14)/Datos!V14,(Datos!L14+Datos!AB14-(Datos!V14+Datos!AJ14))/(Datos!V14+Datos!AJ14))
     ),IF(J_V="SI",(Datos!L14-Datos!V14)/Datos!V14,(Datos!L14+Datos!AB14-(Datos!V14+Datos!AJ14))/(Datos!V14+Datos!AJ14))," - ")</f>
        <v>0.19207851384507535</v>
      </c>
      <c r="F14" s="1153">
        <f>IF(ISNUMBER((Datos!M14-Datos!W14)/Datos!W14),(Datos!M14-Datos!W14)/Datos!W14," - ")</f>
        <v>0.23035230352303523</v>
      </c>
      <c r="G14" s="1154">
        <f>IF(ISNUMBER((Datos!N14-Datos!X14)/Datos!X14),(Datos!N14-Datos!X14)/Datos!X14," - ")</f>
        <v>0.14503816793893129</v>
      </c>
      <c r="H14" s="1154">
        <f>IF(ISNUMBER(((NºAsuntos!G14/NºAsuntos!E14)-Datos!BD14)/Datos!BD14),((NºAsuntos!G14/NºAsuntos!E14)-Datos!BD14)/Datos!BD14," - ")</f>
        <v>-3.0048417132215999E-2</v>
      </c>
      <c r="I14" s="1154">
        <f>IF(ISNUMBER(((NºAsuntos!I14/NºAsuntos!G14)-Datos!BE14)/Datos!BE14),((NºAsuntos!I14/NºAsuntos!G14)-Datos!BE14)/Datos!BE14," - ")</f>
        <v>0.20934413463754181</v>
      </c>
      <c r="J14" s="1154">
        <f>IF(ISNUMBER((('Resol  Asuntos'!D14/NºAsuntos!G14)-Datos!BF14)/Datos!BF14),(('Resol  Asuntos'!D14/NºAsuntos!G14)-Datos!BF14)/Datos!BF14," - ")</f>
        <v>-0.13425645347625983</v>
      </c>
      <c r="K14" s="1154">
        <f>IF(ISNUMBER((((NºAsuntos!C14+NºAsuntos!E14)/NºAsuntos!G14)-Datos!BG14)/Datos!BG14),(((NºAsuntos!C14+NºAsuntos!E14)/NºAsuntos!G14)-Datos!BG14)/Datos!BG14," - ")</f>
        <v>0.13201941760700212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-0.32848965213562309</v>
      </c>
      <c r="C16" s="515">
        <f>IF(ISNUMBER(
   IF(D_I="SI",(Datos!J16-Datos!T16)/Datos!T16,(Datos!J16+Datos!AD16-(Datos!T16+Datos!AL16))/(Datos!T16+Datos!AL16))
     ),IF(D_I="SI",(Datos!J16-Datos!T16)/Datos!T16,(Datos!J16+Datos!AD16-(Datos!T16+Datos!AL16))/(Datos!T16+Datos!AL16))," - ")</f>
        <v>0.25278323510150624</v>
      </c>
      <c r="D16" s="515">
        <f>IF(ISNUMBER(
   IF(D_I="SI",(Datos!K16-Datos!U16)/Datos!U16,(Datos!K16+Datos!AE16-(Datos!U16+Datos!AM16))/(Datos!U16+Datos!AM16))
     ),IF(D_I="SI",(Datos!K16-Datos!U16)/Datos!U16,(Datos!K16+Datos!AE16-(Datos!U16+Datos!AM16))/(Datos!U16+Datos!AM16))," - ")</f>
        <v>3.9255158530447913E-2</v>
      </c>
      <c r="E16" s="515">
        <f>IF(ISNUMBER(
   IF(D_I="SI",(Datos!L16-Datos!V16)/Datos!V16,(Datos!L16+Datos!AF16-(Datos!V16+Datos!AN16))/(Datos!V16+Datos!AN16))
     ),IF(D_I="SI",(Datos!L16-Datos!V16)/Datos!V16,(Datos!L16+Datos!AF16-(Datos!V16+Datos!AN16))/(Datos!V16+Datos!AN16))," - ")</f>
        <v>-0.23331494760066188</v>
      </c>
      <c r="F16" s="515">
        <f>IF(ISNUMBER((Datos!M16-Datos!W16)/Datos!W16),(Datos!M16-Datos!W16)/Datos!W16," - ")</f>
        <v>-5.3191489361702126E-3</v>
      </c>
      <c r="G16" s="516">
        <f>IF(ISNUMBER((Datos!N16-Datos!X16)/Datos!X16),(Datos!N16-Datos!X16)/Datos!X16," - ")</f>
        <v>5.1775147928994087E-3</v>
      </c>
      <c r="H16" s="514">
        <f>IF(ISNUMBER(((NºAsuntos!G16/NºAsuntos!E16)-Datos!BD16)/Datos!BD16),((NºAsuntos!G16/NºAsuntos!E16)-Datos!BD16)/Datos!BD16," - ")</f>
        <v>-0.17044295500470785</v>
      </c>
      <c r="I16" s="515">
        <f>IF(ISNUMBER(((NºAsuntos!I16/NºAsuntos!G16)-Datos!BE16)/Datos!BE16),((NºAsuntos!I16/NºAsuntos!G16)-Datos!BE16)/Datos!BE16," - ")</f>
        <v>-0.26227447984625429</v>
      </c>
      <c r="J16" s="521">
        <f>IF(ISNUMBER((('Resol  Asuntos'!D16/NºAsuntos!G16)-Datos!BF16)/Datos!BF16),(('Resol  Asuntos'!D16/NºAsuntos!G16)-Datos!BF16)/Datos!BF16," - ")</f>
        <v>-4.2890629024779837E-2</v>
      </c>
      <c r="K16" s="522">
        <f>IF(ISNUMBER((((NºAsuntos!C16+NºAsuntos!E16)/NºAsuntos!G16)-Datos!BG16)/Datos!BG16),(((NºAsuntos!C16+NºAsuntos!E16)/NºAsuntos!G16)-Datos!BG16)/Datos!BG16," - ")</f>
        <v>-0.1289788049527788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-0.11375661375661375</v>
      </c>
      <c r="C18" s="515">
        <f>IF(ISNUMBER(
   IF(D_I="SI",(Datos!J18-Datos!T18)/Datos!T18,(Datos!J18+Datos!AD18-(Datos!T18+Datos!AL18))/(Datos!T18+Datos!AL18))
     ),IF(D_I="SI",(Datos!J18-Datos!T18)/Datos!T18,(Datos!J18+Datos!AD18-(Datos!T18+Datos!AL18))/(Datos!T18+Datos!AL18))," - ")</f>
        <v>0.22357723577235772</v>
      </c>
      <c r="D18" s="515">
        <f>IF(ISNUMBER(
   IF(D_I="SI",(Datos!K18-Datos!U18)/Datos!U18,(Datos!K18+Datos!AE18-(Datos!U18+Datos!AM18))/(Datos!U18+Datos!AM18))
     ),IF(D_I="SI",(Datos!K18-Datos!U18)/Datos!U18,(Datos!K18+Datos!AE18-(Datos!U18+Datos!AM18))/(Datos!U18+Datos!AM18))," - ")</f>
        <v>7.1207430340557279E-2</v>
      </c>
      <c r="E18" s="515">
        <f>IF(ISNUMBER(
   IF(D_I="SI",(Datos!L18-Datos!V18)/Datos!V18,(Datos!L18+Datos!AF18-(Datos!V18+Datos!AN18))/(Datos!V18+Datos!AN18))
     ),IF(D_I="SI",(Datos!L18-Datos!V18)/Datos!V18,(Datos!L18+Datos!AF18-(Datos!V18+Datos!AN18))/(Datos!V18+Datos!AN18))," - ")</f>
        <v>-3.6544850498338874E-2</v>
      </c>
      <c r="F18" s="515">
        <f>IF(ISNUMBER((Datos!M18-Datos!W18)/Datos!W18),(Datos!M18-Datos!W18)/Datos!W18," - ")</f>
        <v>0.1875</v>
      </c>
      <c r="G18" s="516">
        <f>IF(ISNUMBER((Datos!N18-Datos!X18)/Datos!X18),(Datos!N18-Datos!X18)/Datos!X18," - ")</f>
        <v>-0.14666666666666667</v>
      </c>
      <c r="H18" s="514">
        <f>IF(ISNUMBER(((NºAsuntos!G18/NºAsuntos!E18)-Datos!BD18)/Datos!BD18),((NºAsuntos!G18/NºAsuntos!E18)-Datos!BD18)/Datos!BD18," - ")</f>
        <v>-0.1245281466319698</v>
      </c>
      <c r="I18" s="515">
        <f>IF(ISNUMBER(((NºAsuntos!I18/NºAsuntos!G18)-Datos!BE18)/Datos!BE18),((NºAsuntos!I18/NºAsuntos!G18)-Datos!BE18)/Datos!BE18," - ")</f>
        <v>-0.1005895569681025</v>
      </c>
      <c r="J18" s="521">
        <f>IF(ISNUMBER((('Resol  Asuntos'!D18/NºAsuntos!G18)-Datos!BF18)/Datos!BF18),(('Resol  Asuntos'!D18/NºAsuntos!G18)-Datos!BF18)/Datos!BF18," - ")</f>
        <v>0.10856213872832374</v>
      </c>
      <c r="K18" s="522">
        <f>IF(ISNUMBER((((NºAsuntos!C18+NºAsuntos!E18)/NºAsuntos!G18)-Datos!BG18)/Datos!BG18),(((NºAsuntos!C18+NºAsuntos!E18)/NºAsuntos!G18)-Datos!BG18)/Datos!BG18," - ")</f>
        <v>-4.8521565140062256E-2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-0.29784824462061155</v>
      </c>
      <c r="C23" s="1152">
        <f>IF(ISNUMBER(
   IF(Criterios!B14="SI",(Datos!J23-Datos!T23)/Datos!T23,(Datos!J23+Datos!AD23-(Datos!T23+Datos!AL23))/(Datos!T23+Datos!AL23))
     ),IF(Criterios!B14="SI",(Datos!J23-Datos!T23)/Datos!T23,(Datos!J23+Datos!AD23-(Datos!T23+Datos!AL23))/(Datos!T23+Datos!AL23))," - ")</f>
        <v>0.24873096446700507</v>
      </c>
      <c r="D23" s="1152">
        <f>IF(ISNUMBER(
   IF(Criterios!B14="SI",(Datos!K23-Datos!U23)/Datos!U23,(Datos!K23+Datos!AE23-(Datos!U23+Datos!AM23))/(Datos!U23+Datos!AM23))
     ),IF(Criterios!B14="SI",(Datos!K23-Datos!U23)/Datos!U23,(Datos!K23+Datos!AE23-(Datos!U23+Datos!AM23))/(Datos!U23+Datos!AM23))," - ")</f>
        <v>4.3722943722943726E-2</v>
      </c>
      <c r="E23" s="1152">
        <f>IF(ISNUMBER(
   IF(Criterios!B14="SI",(Datos!L23-Datos!V23)/Datos!V23,(Datos!L23+Datos!AF23-(Datos!V23+Datos!AN23))/(Datos!V23+Datos!AN23))
     ),IF(Criterios!B14="SI",(Datos!L23-Datos!V23)/Datos!V23,(Datos!L23+Datos!AF23-(Datos!V23+Datos!AN23))/(Datos!V23+Datos!AN23))," - ")</f>
        <v>-0.20529801324503311</v>
      </c>
      <c r="F23" s="1153">
        <f>IF(ISNUMBER((Datos!M23-Datos!W23)/Datos!W23),(Datos!M23-Datos!W23)/Datos!W23," - ")</f>
        <v>3.3898305084745763E-2</v>
      </c>
      <c r="G23" s="1154">
        <f>IF(ISNUMBER((Datos!N23-Datos!X23)/Datos!X23),(Datos!N23-Datos!X23)/Datos!X23," - ")</f>
        <v>-1.6487000634115408E-2</v>
      </c>
      <c r="H23" s="1154">
        <f>IF(ISNUMBER(((NºAsuntos!G23/NºAsuntos!E23)-Datos!BD23)/Datos!BD23),((NºAsuntos!G23/NºAsuntos!E23)-Datos!BD23)/Datos!BD23," - ")</f>
        <v>-0.16417308978284589</v>
      </c>
      <c r="I23" s="1154">
        <f>IF(ISNUMBER(((NºAsuntos!I23/NºAsuntos!G23)-Datos!BE23)/Datos!BE23),((NºAsuntos!I23/NºAsuntos!G23)-Datos!BE23)/Datos!BE23," - ")</f>
        <v>-0.23858913753464395</v>
      </c>
      <c r="J23" s="1154">
        <f>IF(ISNUMBER((('Resol  Asuntos'!D23/NºAsuntos!G23)-Datos!BF23)/Datos!BF23),(('Resol  Asuntos'!D23/NºAsuntos!G23)-Datos!BF23)/Datos!BF23," - ")</f>
        <v>-9.4130714451420034E-3</v>
      </c>
      <c r="K23" s="1154">
        <f>IF(ISNUMBER((((NºAsuntos!C23+NºAsuntos!E23)/NºAsuntos!G23)-Datos!BG23)/Datos!BG23),(((NºAsuntos!C23+NºAsuntos!E23)/NºAsuntos!G23)-Datos!BG23)/Datos!BG23," - ")</f>
        <v>-0.11729201359440877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-5.3794602427096543E-2</v>
      </c>
      <c r="C31" s="1092">
        <f>IF(ISNUMBER(
   IF(J_V="SI",(Datos!J31-Datos!T31)/Datos!T31,(Datos!J31+Datos!Z31-(Datos!T31+Datos!AH31))/(Datos!T31+Datos!AH31))
     ),IF(J_V="SI",(Datos!J31-Datos!T31)/Datos!T31,(Datos!J31+Datos!Z31-(Datos!T31+Datos!AH31))/(Datos!T31+Datos!AH31))," - ")</f>
        <v>0.13849347568208778</v>
      </c>
      <c r="D31" s="1092">
        <f>IF(ISNUMBER(
   IF(J_V="SI",(Datos!K31-Datos!U31)/Datos!U31,(Datos!K31+Datos!AA31-(Datos!U31+Datos!AI31))/(Datos!U31+Datos!AI31))
     ),IF(J_V="SI",(Datos!K31-Datos!U31)/Datos!U31,(Datos!K31+Datos!AA31-(Datos!U31+Datos!AI31))/(Datos!U31+Datos!AI31))," - ")</f>
        <v>1.9892884468247895E-2</v>
      </c>
      <c r="E31" s="1092">
        <f>IF(ISNUMBER(
   IF(J_V="SI",(Datos!L31-Datos!V31)/Datos!V31,(Datos!L31+Datos!AB31-(Datos!V31+Datos!AJ31))/(Datos!V31+Datos!AJ31))
     ),IF(J_V="SI",(Datos!L31-Datos!V31)/Datos!V31,(Datos!L31+Datos!AB31-(Datos!V31+Datos!AJ31))/(Datos!V31+Datos!AJ31))," - ")</f>
        <v>2.2951479766458626E-2</v>
      </c>
      <c r="F31" s="1093">
        <f>IF(ISNUMBER((Datos!M31-Datos!W31)/Datos!W31),(Datos!M31-Datos!W31)/Datos!W31," - ")</f>
        <v>0.1537190082644628</v>
      </c>
      <c r="G31" s="1094">
        <f>IF(ISNUMBER((Datos!N31-Datos!X31)/Datos!X31),(Datos!N31-Datos!X31)/Datos!X31," - ")</f>
        <v>2.3798191337458353E-2</v>
      </c>
      <c r="H31" s="1095">
        <f>IF(ISNUMBER((Tasas!B31-Datos!BD31)/Datos!BD31),(Tasas!B31-Datos!BD31)/Datos!BD31," - ")</f>
        <v>-0.10417327261606364</v>
      </c>
      <c r="I31" s="1096">
        <f>IF(ISNUMBER((Tasas!C31-Datos!BE31)/Datos!BE31),(Tasas!C31-Datos!BE31)/Datos!BE31," - ")</f>
        <v>2.9989377755150069E-3</v>
      </c>
      <c r="J31" s="1097">
        <f>IF(ISNUMBER((Tasas!D31-Datos!BF31)/Datos!BF31),(Tasas!D31-Datos!BF31)/Datos!BF31," - ")</f>
        <v>-0.10887292135533874</v>
      </c>
      <c r="K31" s="1097">
        <f>IF(ISNUMBER((Tasas!E31-Datos!BG31)/Datos!BG31),(Tasas!E31-Datos!BG31)/Datos!BG31," - ")</f>
        <v>-7.615757532097125E-4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Bw815UxxUJzH+rt9NDHffka1L7q2L8/ERcRZxzct3a1hOBQHGhEHLM+1PszqJtIwRlui1gFur2ZltsQwDdKPA==" saltValue="84Y7L86ffh1NhE320WTs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MANACOR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0.98555276381909551</v>
      </c>
      <c r="C9" s="498">
        <f>IF(ISNUMBER(NºAsuntos!I9/NºAsuntos!G9),NºAsuntos!I9/NºAsuntos!G9," - ")</f>
        <v>2.084130019120459</v>
      </c>
      <c r="D9" s="499">
        <f>IF(ISNUMBER('Resol  Asuntos'!D9/NºAsuntos!G9),'Resol  Asuntos'!D9/NºAsuntos!G9," - ")</f>
        <v>0.28362014021669851</v>
      </c>
      <c r="E9" s="500">
        <f>IF(ISNUMBER((NºAsuntos!C9+NºAsuntos!E9)/NºAsuntos!G9),(NºAsuntos!C9+NºAsuntos!E9)/NºAsuntos!G9," - ")</f>
        <v>3.084130019120459</v>
      </c>
      <c r="G9" s="523"/>
    </row>
    <row r="10" spans="1:7">
      <c r="A10" s="450" t="str">
        <f>Datos!A10</f>
        <v>Jdos. Violencia contra la mujer</v>
      </c>
      <c r="B10" s="497">
        <f>IF(ISNUMBER(NºAsuntos!G10/NºAsuntos!E10),NºAsuntos!G10/NºAsuntos!E10," - ")</f>
        <v>0.5757575757575758</v>
      </c>
      <c r="C10" s="498">
        <f>IF(ISNUMBER(NºAsuntos!I10/NºAsuntos!G10),NºAsuntos!I10/NºAsuntos!G10," - ")</f>
        <v>6.8947368421052628</v>
      </c>
      <c r="D10" s="499">
        <f>IF(ISNUMBER('Resol  Asuntos'!D10/NºAsuntos!G10),'Resol  Asuntos'!D10/NºAsuntos!G10," - ")</f>
        <v>0.47368421052631576</v>
      </c>
      <c r="E10" s="500">
        <f>IF(ISNUMBER((NºAsuntos!C10+NºAsuntos!E10)/NºAsuntos!G10),(NºAsuntos!C10+NºAsuntos!E10)/NºAsuntos!G10," - ")</f>
        <v>7.8947368421052628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0.97723076923076924</v>
      </c>
      <c r="C14" s="1156">
        <f>IF(ISNUMBER(NºAsuntos!I14/NºAsuntos!G14),NºAsuntos!I14/NºAsuntos!G14," - ")</f>
        <v>2.1416876574307304</v>
      </c>
      <c r="D14" s="1157">
        <f>IF(ISNUMBER('Resol  Asuntos'!D14/NºAsuntos!G14),'Resol  Asuntos'!D14/NºAsuntos!G14," - ")</f>
        <v>0.2858942065491184</v>
      </c>
      <c r="E14" s="1158">
        <f>IF(ISNUMBER((NºAsuntos!C14+NºAsuntos!E14)/NºAsuntos!G14),(NºAsuntos!C14+NºAsuntos!E14)/NºAsuntos!G14," - ")</f>
        <v>3.1416876574307304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1.0794563512807109</v>
      </c>
      <c r="C16" s="498">
        <f>IF(ISNUMBER(NºAsuntos!I16/NºAsuntos!G16),NºAsuntos!I16/NºAsuntos!G16," - ")</f>
        <v>0.67312348668280875</v>
      </c>
      <c r="D16" s="499">
        <f>IF(ISNUMBER('Resol  Asuntos'!D16/NºAsuntos!G16),'Resol  Asuntos'!D16/NºAsuntos!G16," - ")</f>
        <v>9.0556900726392248E-2</v>
      </c>
      <c r="E16" s="500">
        <f>IF(ISNUMBER((NºAsuntos!C16+NºAsuntos!E16)/NºAsuntos!G16),(NºAsuntos!C16+NºAsuntos!E16)/NºAsuntos!G16," - ")</f>
        <v>1.6648910411622275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1.1495016611295681</v>
      </c>
      <c r="C18" s="498">
        <f>IF(ISNUMBER(NºAsuntos!I18/NºAsuntos!G18),NºAsuntos!I18/NºAsuntos!G18," - ")</f>
        <v>0.83815028901734101</v>
      </c>
      <c r="D18" s="499">
        <f>IF(ISNUMBER('Resol  Asuntos'!D18/NºAsuntos!G18),'Resol  Asuntos'!D18/NºAsuntos!G18," - ")</f>
        <v>0.16473988439306358</v>
      </c>
      <c r="E18" s="500">
        <f>IF(ISNUMBER((NºAsuntos!C18+NºAsuntos!E18)/NºAsuntos!G18),(NºAsuntos!C18+NºAsuntos!E18)/NºAsuntos!G18," - ")</f>
        <v>1.8381502890173411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1.0889792231255646</v>
      </c>
      <c r="C23" s="1156">
        <f>IF(ISNUMBER(NºAsuntos!I23/NºAsuntos!G23),NºAsuntos!I23/NºAsuntos!G23," - ")</f>
        <v>0.69680630443799252</v>
      </c>
      <c r="D23" s="1159">
        <f>IF(ISNUMBER('Resol  Asuntos'!D23/NºAsuntos!G23),'Resol  Asuntos'!D23/NºAsuntos!G23," - ")</f>
        <v>0.10120282040647034</v>
      </c>
      <c r="E23" s="1158">
        <f>IF(ISNUMBER((NºAsuntos!C23+NºAsuntos!E23)/NºAsuntos!G23),(NºAsuntos!C23+NºAsuntos!E23)/NºAsuntos!G23," - ")</f>
        <v>1.6897552882621318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1.0416775201875488</v>
      </c>
      <c r="C31" s="1099">
        <f>IF(ISNUMBER(NºAsuntos!I31/NºAsuntos!G31),NºAsuntos!I31/NºAsuntos!G31," - ")</f>
        <v>1.2705676419104777</v>
      </c>
      <c r="D31" s="1100">
        <f>IF(ISNUMBER('Resol  Asuntos'!D31/NºAsuntos!G31),'Resol  Asuntos'!D31/NºAsuntos!G31," - ")</f>
        <v>0.17454363590897726</v>
      </c>
      <c r="E31" s="1101">
        <f>IF(ISNUMBER((NºAsuntos!C31+NºAsuntos!E31)/NºAsuntos!G31),(NºAsuntos!C31+NºAsuntos!E31)/NºAsuntos!G31," - ")</f>
        <v>2.2663165791447861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ZFLaGXgqrJXdlNDxincHDOQKBFDjL/N0X9y22kBwuLYbR1a9mnJ3m1Xk0/jMV7OGsM0xMH9upM16UbOOVs8yQ==" saltValue="082yMq8xeG+hZJf8++QG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MANACOR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112</v>
      </c>
      <c r="Y9" s="374">
        <f>SUM(W9:X9)</f>
        <v>112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6694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445</v>
      </c>
      <c r="AJ9" s="243" t="str">
        <f>IF(ISNUMBER(Datos!BW9),Datos!BW9," - ")</f>
        <v xml:space="preserve"> - </v>
      </c>
      <c r="AK9" s="242" t="str">
        <f>IF(ISNUMBER(Datos!BX9),Datos!BX9," - ")</f>
        <v xml:space="preserve"> - </v>
      </c>
      <c r="AL9" s="266">
        <f>IF(ISNUMBER(NºAsuntos!G9/NºAsuntos!E9),NºAsuntos!G9/NºAsuntos!E9," - ")</f>
        <v>0.98555276381909551</v>
      </c>
      <c r="AM9" s="284">
        <f>IF(ISNUMBER(((NºAsuntos!I9/NºAsuntos!G9)*11)/factor_trimestre),((NºAsuntos!I9/NºAsuntos!G9)*11)/factor_trimestre," - ")</f>
        <v>6.252390057361378</v>
      </c>
      <c r="AN9" s="267">
        <f>IF(ISNUMBER('Resol  Asuntos'!D9/NºAsuntos!G9),'Resol  Asuntos'!D9/NºAsuntos!G9," - ")</f>
        <v>0.28362014021669851</v>
      </c>
      <c r="AO9" s="268">
        <f>IF(ISNUMBER((NºAsuntos!C9+NºAsuntos!E9)/NºAsuntos!G9),(NºAsuntos!C9+NºAsuntos!E9)/NºAsuntos!G9," - ")</f>
        <v>3.084130019120459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117</v>
      </c>
      <c r="G10" s="373">
        <f>IF(ISNUMBER(Datos!I10),Datos!I10," - ")</f>
        <v>117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0</v>
      </c>
      <c r="Y10" s="374">
        <f t="shared" ref="Y10:Y13" si="0">SUM(W10:X10)</f>
        <v>19</v>
      </c>
      <c r="Z10" s="375" t="str">
        <f>IF(ISNUMBER(Datos!CC10),Datos!CC10," - ")</f>
        <v xml:space="preserve"> - </v>
      </c>
      <c r="AA10" s="372">
        <f>IF(ISNUMBER(Datos!L10),Datos!L10,"-")</f>
        <v>131</v>
      </c>
      <c r="AB10" s="374">
        <f>IF(ISNUMBER(Datos!R10),Datos!R10," - ")</f>
        <v>68</v>
      </c>
      <c r="AC10" s="374">
        <f t="shared" ref="AC10:AC13" si="1">IF(ISNUMBER(AA10+AB10),AA10+AB10," - ")</f>
        <v>199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0.5757575757575758</v>
      </c>
      <c r="AM10" s="284">
        <f>IF(ISNUMBER(((NºAsuntos!I10/NºAsuntos!G10)*11)/factor_trimestre),((NºAsuntos!I10/NºAsuntos!G10)*11)/factor_trimestre," - ")</f>
        <v>20.684210526315788</v>
      </c>
      <c r="AN10" s="267">
        <f>IF(ISNUMBER('Resol  Asuntos'!D10/NºAsuntos!G10),'Resol  Asuntos'!D10/NºAsuntos!G10," - ")</f>
        <v>0.47368421052631576</v>
      </c>
      <c r="AO10" s="268">
        <f>IF(ISNUMBER((NºAsuntos!C10+NºAsuntos!E10)/NºAsuntos!G10),(NºAsuntos!C10+NºAsuntos!E10)/NºAsuntos!G10," - ")</f>
        <v>7.8947368421052628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117</v>
      </c>
      <c r="G14" s="1163">
        <f t="shared" si="5"/>
        <v>117</v>
      </c>
      <c r="H14" s="1162">
        <f t="shared" si="5"/>
        <v>0</v>
      </c>
      <c r="I14" s="1164">
        <f t="shared" si="5"/>
        <v>0</v>
      </c>
      <c r="J14" s="1164">
        <f t="shared" si="5"/>
        <v>0</v>
      </c>
      <c r="K14" s="1164">
        <f t="shared" si="5"/>
        <v>0</v>
      </c>
      <c r="L14" s="1164">
        <f t="shared" si="5"/>
        <v>318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112</v>
      </c>
      <c r="Y14" s="1165">
        <f t="shared" si="6"/>
        <v>131</v>
      </c>
      <c r="Z14" s="1165">
        <f t="shared" si="6"/>
        <v>0</v>
      </c>
      <c r="AA14" s="1165">
        <f t="shared" si="6"/>
        <v>131</v>
      </c>
      <c r="AB14" s="1165">
        <f t="shared" si="6"/>
        <v>6773</v>
      </c>
      <c r="AC14" s="1165">
        <f t="shared" si="6"/>
        <v>199</v>
      </c>
      <c r="AD14" s="1165">
        <f t="shared" si="6"/>
        <v>0</v>
      </c>
      <c r="AE14" s="1169">
        <f t="shared" si="6"/>
        <v>0</v>
      </c>
      <c r="AF14" s="1162">
        <f t="shared" si="6"/>
        <v>0</v>
      </c>
      <c r="AG14" s="1170">
        <f t="shared" si="6"/>
        <v>0</v>
      </c>
      <c r="AH14" s="1167">
        <f t="shared" si="6"/>
        <v>0</v>
      </c>
      <c r="AI14" s="1162">
        <f t="shared" si="6"/>
        <v>454</v>
      </c>
      <c r="AJ14" s="1164">
        <f t="shared" si="6"/>
        <v>0</v>
      </c>
      <c r="AK14" s="1167">
        <f>SUBTOTAL(9,AK9:AK13)</f>
        <v>0</v>
      </c>
      <c r="AL14" s="1171">
        <f>IF(ISNUMBER(NºAsuntos!G14/NºAsuntos!E14),NºAsuntos!G14/NºAsuntos!E14," - ")</f>
        <v>0.97723076923076924</v>
      </c>
      <c r="AM14" s="1171">
        <f>IF(ISNUMBER(((NºAsuntos!I14/NºAsuntos!G14)*11)/factor_trimestre),((NºAsuntos!I14/NºAsuntos!G14)*11)/factor_trimestre," - ")</f>
        <v>6.4250629722921921</v>
      </c>
      <c r="AN14" s="1172">
        <f>IF(ISNUMBER('Resol  Asuntos'!D14/NºAsuntos!G14),'Resol  Asuntos'!D14/NºAsuntos!G14," - ")</f>
        <v>0.2858942065491184</v>
      </c>
      <c r="AO14" s="1173">
        <f>IF(ISNUMBER((NºAsuntos!C14+NºAsuntos!E14)/NºAsuntos!G14),(NºAsuntos!C14+NºAsuntos!E14)/NºAsuntos!G14," - ")</f>
        <v>3.1416876574307304</v>
      </c>
      <c r="AP14" s="1174" t="str">
        <f t="shared" si="2"/>
        <v xml:space="preserve"> - </v>
      </c>
      <c r="AQ14" s="1174">
        <f>IF(ISNUMBER((H14-W14+K14)/(F14)),(H14-W14+K14)/(F14)," - ")</f>
        <v>-0.1623931623931624</v>
      </c>
      <c r="AR14" s="1175">
        <f>IF(ISNUMBER((Datos!P14-Datos!Q14)/(Datos!R14-Datos!P14+Datos!Q14)),(Datos!P14-Datos!Q14)/(Datos!R14-Datos!P14+Datos!Q14)," - ")</f>
        <v>3.1368966042332878E-2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1542</v>
      </c>
      <c r="G16" s="373">
        <f>IF(ISNUMBER(IF(D_I="SI",Datos!I16,Datos!I16+Datos!AC16)),IF(D_I="SI",Datos!I16,Datos!I16+Datos!AC16)," - ")</f>
        <v>1525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2065</v>
      </c>
      <c r="X16" s="240">
        <f>IF(ISNUMBER(Datos!Q16),Datos!Q16," - ")</f>
        <v>36</v>
      </c>
      <c r="Y16" s="374">
        <f>SUM(W16)</f>
        <v>2065</v>
      </c>
      <c r="Z16" s="375" t="str">
        <f>IF(ISNUMBER(Datos!CC16),Datos!CC16," - ")</f>
        <v xml:space="preserve"> - </v>
      </c>
      <c r="AA16" s="372">
        <f>IF(ISNUMBER(IF(D_I="SI",Datos!L16,Datos!L16+Datos!AF16)),IF(D_I="SI",Datos!L16,Datos!L16+Datos!AF16)," - ")</f>
        <v>1390</v>
      </c>
      <c r="AB16" s="374">
        <f>IF(ISNUMBER(Datos!R16),Datos!R16," - ")</f>
        <v>240</v>
      </c>
      <c r="AC16" s="374">
        <f t="shared" ref="AC16:AC22" si="8">IF(ISNUMBER(AA16+AB16),AA16+AB16," - ")</f>
        <v>1630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187</v>
      </c>
      <c r="AJ16" s="245" t="str">
        <f>IF(ISNUMBER(Datos!BW16),Datos!BW16," - ")</f>
        <v xml:space="preserve"> - </v>
      </c>
      <c r="AK16" s="246" t="str">
        <f>IF(ISNUMBER(Datos!BX16),Datos!BX16," - ")</f>
        <v xml:space="preserve"> - </v>
      </c>
      <c r="AL16" s="266">
        <f>IF(ISNUMBER(NºAsuntos!G16/NºAsuntos!E16),NºAsuntos!G16/NºAsuntos!E16," - ")</f>
        <v>1.0794563512807109</v>
      </c>
      <c r="AM16" s="284">
        <f>IF(ISNUMBER(((NºAsuntos!I16/NºAsuntos!G16)*11)/factor_trimestre),((NºAsuntos!I16/NºAsuntos!G16)*11)/factor_trimestre," - ")</f>
        <v>2.0193704600484264</v>
      </c>
      <c r="AN16" s="267">
        <f>IF(ISNUMBER('Resol  Asuntos'!D16/NºAsuntos!G16),'Resol  Asuntos'!D16/NºAsuntos!G16," - ")</f>
        <v>9.0556900726392248E-2</v>
      </c>
      <c r="AO16" s="268">
        <f>IF(ISNUMBER((NºAsuntos!C16+NºAsuntos!E16)/NºAsuntos!G16),(NºAsuntos!C16+NºAsuntos!E16)/NºAsuntos!G16," - ")</f>
        <v>1.6648910411622275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346</v>
      </c>
      <c r="X18" s="240">
        <f>IF(ISNUMBER(Datos!Q18),Datos!Q18," - ")</f>
        <v>6</v>
      </c>
      <c r="Y18" s="374">
        <f t="shared" si="9"/>
        <v>352</v>
      </c>
      <c r="Z18" s="375" t="str">
        <f>IF(ISNUMBER(Datos!CC18),Datos!CC18," - ")</f>
        <v xml:space="preserve"> - </v>
      </c>
      <c r="AA18" s="372">
        <f>IF(ISNUMBER(Datos!L18),Datos!L18,"-")</f>
        <v>290</v>
      </c>
      <c r="AB18" s="374">
        <f>IF(ISNUMBER(Datos!R18),Datos!R18," - ")</f>
        <v>24</v>
      </c>
      <c r="AC18" s="374">
        <f t="shared" si="8"/>
        <v>314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v>
      </c>
      <c r="AJ18" s="245" t="str">
        <f>IF(ISNUMBER(Datos!BW18),Datos!BW18," - ")</f>
        <v xml:space="preserve"> - </v>
      </c>
      <c r="AK18" s="246" t="str">
        <f>IF(ISNUMBER(Datos!BX18),Datos!BX18," - ")</f>
        <v xml:space="preserve"> - </v>
      </c>
      <c r="AL18" s="266">
        <f>IF(ISNUMBER(NºAsuntos!G18/NºAsuntos!E18),NºAsuntos!G18/NºAsuntos!E18," - ")</f>
        <v>1.1495016611295681</v>
      </c>
      <c r="AM18" s="284">
        <f>IF(ISNUMBER(((NºAsuntos!I18/NºAsuntos!G18)*11)/factor_trimestre),((NºAsuntos!I18/NºAsuntos!G18)*11)/factor_trimestre," - ")</f>
        <v>2.5144508670520231</v>
      </c>
      <c r="AN18" s="267">
        <f>IF(ISNUMBER('Resol  Asuntos'!D18/NºAsuntos!G18),'Resol  Asuntos'!D18/NºAsuntos!G18," - ")</f>
        <v>0.16473988439306358</v>
      </c>
      <c r="AO18" s="268">
        <f>IF(ISNUMBER((NºAsuntos!C18+NºAsuntos!E18)/NºAsuntos!G18),(NºAsuntos!C18+NºAsuntos!E18)/NºAsuntos!G18," - ")</f>
        <v>1.8381502890173411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1542</v>
      </c>
      <c r="G23" s="1163">
        <f>SUBTOTAL(9,G16:G22)</f>
        <v>1860</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2411</v>
      </c>
      <c r="X23" s="1164">
        <f t="shared" si="14"/>
        <v>42</v>
      </c>
      <c r="Y23" s="1165">
        <f t="shared" si="14"/>
        <v>2417</v>
      </c>
      <c r="Z23" s="1165">
        <f t="shared" si="14"/>
        <v>0</v>
      </c>
      <c r="AA23" s="1165">
        <f t="shared" si="14"/>
        <v>1680</v>
      </c>
      <c r="AB23" s="1165">
        <f t="shared" si="14"/>
        <v>264</v>
      </c>
      <c r="AC23" s="1165">
        <f t="shared" si="14"/>
        <v>1944</v>
      </c>
      <c r="AD23" s="1165">
        <f t="shared" si="14"/>
        <v>0</v>
      </c>
      <c r="AE23" s="1169">
        <f t="shared" si="14"/>
        <v>0</v>
      </c>
      <c r="AF23" s="1162">
        <f t="shared" si="14"/>
        <v>0</v>
      </c>
      <c r="AG23" s="1170">
        <f t="shared" si="14"/>
        <v>0</v>
      </c>
      <c r="AH23" s="1167">
        <f t="shared" si="14"/>
        <v>0</v>
      </c>
      <c r="AI23" s="1162">
        <f t="shared" si="14"/>
        <v>244</v>
      </c>
      <c r="AJ23" s="1164">
        <f t="shared" si="14"/>
        <v>0</v>
      </c>
      <c r="AK23" s="1167">
        <f t="shared" si="14"/>
        <v>0</v>
      </c>
      <c r="AL23" s="1171">
        <f>IF(ISNUMBER(NºAsuntos!G23/NºAsuntos!E23),NºAsuntos!G23/NºAsuntos!E23," - ")</f>
        <v>1.0889792231255646</v>
      </c>
      <c r="AM23" s="1171">
        <f>IF(ISNUMBER(((NºAsuntos!I23/NºAsuntos!G23)*11)/factor_trimestre),((NºAsuntos!I23/NºAsuntos!G23)*11)/factor_trimestre," - ")</f>
        <v>2.0904189133139779</v>
      </c>
      <c r="AN23" s="1172">
        <f>IF(ISNUMBER('Resol  Asuntos'!D23/NºAsuntos!G23),'Resol  Asuntos'!D23/NºAsuntos!G23," - ")</f>
        <v>0.10120282040647034</v>
      </c>
      <c r="AO23" s="1173">
        <f>IF(ISNUMBER((NºAsuntos!C23+NºAsuntos!E23)/NºAsuntos!G23),(NºAsuntos!C23+NºAsuntos!E23)/NºAsuntos!G23," - ")</f>
        <v>1.6897552882621318</v>
      </c>
      <c r="AP23" s="1174" t="str">
        <f t="shared" si="2"/>
        <v xml:space="preserve"> - </v>
      </c>
      <c r="AQ23" s="1174">
        <f>IF(ISNUMBER((H23-W23+K23)/(F23)),(H23-W23+K23)/(F23)," - ")</f>
        <v>-1.5635538261997406</v>
      </c>
      <c r="AR23" s="1175">
        <f>IF(ISNUMBER((Datos!P23-Datos!Q23)/(Datos!R23-Datos!P23+Datos!Q23)),(Datos!P23-Datos!Q23)/(Datos!R23-Datos!P23+Datos!Q23)," - ")</f>
        <v>-7.5187969924812026E-3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1659</v>
      </c>
      <c r="G31" s="1118">
        <f t="shared" si="20"/>
        <v>1977</v>
      </c>
      <c r="H31" s="1117">
        <f t="shared" si="20"/>
        <v>0</v>
      </c>
      <c r="I31" s="1119">
        <f t="shared" si="20"/>
        <v>0</v>
      </c>
      <c r="J31" s="1119">
        <f t="shared" si="20"/>
        <v>0</v>
      </c>
      <c r="K31" s="1180">
        <f t="shared" si="20"/>
        <v>0</v>
      </c>
      <c r="L31" s="1119">
        <f t="shared" si="20"/>
        <v>358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2430</v>
      </c>
      <c r="X31" s="1118">
        <f t="shared" si="21"/>
        <v>154</v>
      </c>
      <c r="Y31" s="1125">
        <f t="shared" si="21"/>
        <v>2548</v>
      </c>
      <c r="Z31" s="1125">
        <f t="shared" si="21"/>
        <v>0</v>
      </c>
      <c r="AA31" s="1125">
        <f t="shared" si="21"/>
        <v>1811</v>
      </c>
      <c r="AB31" s="1125">
        <f t="shared" si="21"/>
        <v>7037</v>
      </c>
      <c r="AC31" s="1125">
        <f t="shared" si="21"/>
        <v>2143</v>
      </c>
      <c r="AD31" s="1125">
        <f t="shared" si="21"/>
        <v>0</v>
      </c>
      <c r="AE31" s="1127">
        <f t="shared" si="21"/>
        <v>0</v>
      </c>
      <c r="AF31" s="1128">
        <f t="shared" si="21"/>
        <v>0</v>
      </c>
      <c r="AG31" s="1129">
        <f t="shared" si="21"/>
        <v>0</v>
      </c>
      <c r="AH31" s="1127">
        <f t="shared" si="21"/>
        <v>0</v>
      </c>
      <c r="AI31" s="1117">
        <f t="shared" si="21"/>
        <v>698</v>
      </c>
      <c r="AJ31" s="1117">
        <f t="shared" si="21"/>
        <v>0</v>
      </c>
      <c r="AK31" s="1127">
        <f t="shared" si="21"/>
        <v>0</v>
      </c>
      <c r="AL31" s="1183">
        <f>IF(ISNUMBER(NºAsuntos!G31/NºAsuntos!E31),NºAsuntos!G31/NºAsuntos!E31," - ")</f>
        <v>1.0416775201875488</v>
      </c>
      <c r="AM31" s="1184">
        <f>IF(ISNUMBER(((NºAsuntos!I31/NºAsuntos!G31)*11)/factor_trimestre),((NºAsuntos!I31/NºAsuntos!G31)*11)/factor_trimestre," - ")</f>
        <v>3.8117029257314332</v>
      </c>
      <c r="AN31" s="1184">
        <f>IF(ISNUMBER('Resol  Asuntos'!D31/NºAsuntos!G31),'Resol  Asuntos'!D31/NºAsuntos!G31," - ")</f>
        <v>0.17454363590897726</v>
      </c>
      <c r="AO31" s="1185">
        <f>IF(ISNUMBER((NºAsuntos!C31+NºAsuntos!E31)/NºAsuntos!G31),(NºAsuntos!C31+NºAsuntos!E31)/NºAsuntos!G31," - ")</f>
        <v>2.2663165791447861</v>
      </c>
      <c r="AP31" s="1186" t="str">
        <f t="shared" si="2"/>
        <v xml:space="preserve"> - </v>
      </c>
      <c r="AQ31" s="1187">
        <f>IF(OR(ISNUMBER(FIND("01",Criterios!A8,1)),ISNUMBER(FIND("02",Criterios!A8,1)),ISNUMBER(FIND("03",Criterios!A8,1)),ISNUMBER(FIND("04",Criterios!A8,1))),(I31-W31+K31)/(F31-K31),(H31-W31+K31)/(F31-K31))</f>
        <v>-1.4647377938517179</v>
      </c>
      <c r="AR31" s="1188">
        <f>IF(ISNUMBER((Datos!P31-Datos!Q31)/(Datos!R31-Datos!P31+Datos!Q31)),(Datos!P31-Datos!Q31)/(Datos!R31-Datos!P31+Datos!Q31)," - ")</f>
        <v>2.9855114883652861E-2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767.8609249076294</v>
      </c>
      <c r="G33" s="277">
        <f>IF(ISNUMBER(STDEV(G8:G30)),STDEV(G8:G30),"-")</f>
        <v>784.36628955512629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1066.4079448137588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188.89179736322885</v>
      </c>
      <c r="AJ33" s="276">
        <f t="shared" si="25"/>
        <v>0</v>
      </c>
      <c r="AK33" s="278">
        <f t="shared" si="25"/>
        <v>0</v>
      </c>
      <c r="AL33" s="273">
        <f t="shared" si="25"/>
        <v>0.20681251316614188</v>
      </c>
      <c r="AM33" s="274">
        <f t="shared" si="25"/>
        <v>7.1624269877306732</v>
      </c>
      <c r="AN33" s="274">
        <f t="shared" si="25"/>
        <v>0.14533312128670994</v>
      </c>
      <c r="AO33" s="275">
        <f t="shared" si="25"/>
        <v>2.3894464641479169</v>
      </c>
      <c r="AP33" s="317" t="str">
        <f t="shared" si="25"/>
        <v>-</v>
      </c>
      <c r="AQ33" s="318">
        <f t="shared" si="25"/>
        <v>0.9907702069094757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X05Nmc9beujgZ/pFabtjmfWOvy6FrIEVfqnvkjiqahkSwBIFfYHhg43HppDA2/l/1T6XeMtY5/bjt4XcMUJyQ==" saltValue="XLnv12uoBI3FyLPHb46v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MANACOR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0.2361111111111111</v>
      </c>
      <c r="I9" s="395">
        <f>IF(ISNUMBER((Tasas!C9-Datos!BE9)/Datos!BE9),(Tasas!C9-Datos!BE9)/Datos!BE9," - ")</f>
        <v>0.21713802066238644</v>
      </c>
      <c r="J9" s="394">
        <f>IF(ISNUMBER((Tasas!D9-Datos!BF9)/Datos!BF9),(Tasas!D9-Datos!BF9)/Datos!BF9," - ")</f>
        <v>-0.13287073765487392</v>
      </c>
      <c r="K9" s="396">
        <f>IF(ISNUMBER((Tasas!E9-Datos!BG9)/Datos!BG9),(Tasas!E9-Datos!BG9)/Datos!BG9," - ")</f>
        <v>0.13629582962525669</v>
      </c>
      <c r="M9" t="e">
        <f>IF(Monitorios="SI",Datos!CE9,0)</f>
        <v>#REF!</v>
      </c>
      <c r="N9" t="e">
        <f>IF(Monitorios="SI",Datos!CF9,0)</f>
        <v>#REF!</v>
      </c>
      <c r="O9" t="e">
        <f>IF(Monitorios="SI",Datos!CG9,0)</f>
        <v>#REF!</v>
      </c>
      <c r="P9" t="e">
        <f>IF(Monitorios="SI",Datos!CH9,0)</f>
        <v>#REF!</v>
      </c>
      <c r="Q9">
        <f>IF(J_V="SI",0,Datos!AG9)</f>
        <v>190</v>
      </c>
      <c r="R9">
        <f>IF(J_V="SI",0,Datos!AH9)</f>
        <v>137</v>
      </c>
      <c r="S9">
        <f>IF(J_V="SI",0,Datos!AI9)</f>
        <v>184</v>
      </c>
      <c r="T9">
        <f>IF(J_V="SI",0,Datos!AJ9)</f>
        <v>143</v>
      </c>
    </row>
    <row r="10" spans="2:20" ht="14.25">
      <c r="B10" s="300" t="s">
        <v>321</v>
      </c>
      <c r="C10" s="7" t="str">
        <f>Datos!A10</f>
        <v>Jdos. Violencia contra la mujer</v>
      </c>
      <c r="D10" s="397">
        <f>IF(ISNUMBER((Datos!I10-Datos!S10)/Datos!S10),(Datos!I10-Datos!S10)/Datos!S10," - ")</f>
        <v>0.24468085106382978</v>
      </c>
      <c r="E10" s="393">
        <f>IF(ISNUMBER((Datos!J10-Datos!T10)/Datos!T10),(Datos!J10-Datos!T10)/Datos!T10," - ")</f>
        <v>0.43478260869565216</v>
      </c>
      <c r="F10" s="393">
        <f>IF(ISNUMBER((Datos!K10-Datos!U10)/Datos!U10),(Datos!K10-Datos!U10)/Datos!U10," - ")</f>
        <v>0.58333333333333337</v>
      </c>
      <c r="G10" s="394">
        <f>IF(ISNUMBER((Datos!L10-Datos!V10)/Datos!V10),(Datos!L10-Datos!V10)/Datos!V10," - ")</f>
        <v>0.24761904761904763</v>
      </c>
      <c r="H10" s="244">
        <f>IF(ISNUMBER((Datos!M10-Datos!W10)/Datos!W10),(Datos!M10-Datos!W10)/Datos!W10," - ")</f>
        <v>0</v>
      </c>
      <c r="I10" s="395">
        <f>IF(ISNUMBER((Tasas!C10-Datos!BE10)/Datos!BE10),(Tasas!C10-Datos!BE10)/Datos!BE10," - ")</f>
        <v>-0.21203007518796996</v>
      </c>
      <c r="J10" s="394">
        <f>IF(ISNUMBER((Tasas!D10-Datos!BF10)/Datos!BF10),(Tasas!D10-Datos!BF10)/Datos!BF10," - ")</f>
        <v>-0.36842105263157898</v>
      </c>
      <c r="K10" s="396">
        <f>IF(ISNUMBER((Tasas!E10-Datos!BG10)/Datos!BG10),(Tasas!E10-Datos!BG10)/Datos!BG10," - ")</f>
        <v>-0.19028340080971665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0.23035230352303523</v>
      </c>
      <c r="I14" s="402">
        <f>IF(ISNUMBER((Tasas!C14-Datos!BE14)/Datos!BE14),(Tasas!C14-Datos!BE14)/Datos!BE14," - ")</f>
        <v>0.20934413463754181</v>
      </c>
      <c r="J14" s="400">
        <f>IF(ISNUMBER((Tasas!D14-Datos!BF14)/Datos!BF14),(Tasas!D14-Datos!BF14)/Datos!BF14," - ")</f>
        <v>-0.13425645347625983</v>
      </c>
      <c r="K14" s="403">
        <f>IF(ISNUMBER((Tasas!E14-Datos!BG14)/Datos!BG14),(Tasas!E14-Datos!BG14)/Datos!BG14," - ")</f>
        <v>0.13201941760700212</v>
      </c>
      <c r="M14" t="e">
        <f>IF(Monitorios="SI",Datos!CE14,0)</f>
        <v>#REF!</v>
      </c>
      <c r="N14" t="e">
        <f>IF(Monitorios="SI",Datos!CF14,0)</f>
        <v>#REF!</v>
      </c>
      <c r="O14" t="e">
        <f>IF(Monitorios="SI",Datos!CG14,0)</f>
        <v>#REF!</v>
      </c>
      <c r="P14" t="e">
        <f>IF(Monitorios="SI",Datos!CH14,0)</f>
        <v>#REF!</v>
      </c>
      <c r="Q14">
        <f>IF(J_V="SI",0,Datos!AG14)</f>
        <v>190</v>
      </c>
      <c r="R14">
        <f>IF(J_V="SI",0,Datos!AH14)</f>
        <v>137</v>
      </c>
      <c r="S14">
        <f>IF(J_V="SI",0,Datos!AI14)</f>
        <v>184</v>
      </c>
      <c r="T14">
        <f>IF(J_V="SI",0,Datos!AJ14)</f>
        <v>143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-0.32848965213562309</v>
      </c>
      <c r="E16" s="393">
        <f>IF(ISNUMBER(
   IF(D_I="SI",(Datos!J16-Datos!T16)/Datos!T16,(Datos!J16+Datos!AD16-(Datos!T16+Datos!AL16))/(Datos!T16+Datos!AL16))
     ),IF(D_I="SI",(Datos!J16-Datos!T16)/Datos!T16,(Datos!J16+Datos!AD16-(Datos!T16+Datos!AL16))/(Datos!T16+Datos!AL16))," - ")</f>
        <v>0.25278323510150624</v>
      </c>
      <c r="F16" s="393">
        <f>IF(ISNUMBER(
   IF(D_I="SI",(Datos!K16-Datos!U16)/Datos!U16,(Datos!K16+Datos!AE16-(Datos!U16+Datos!AM16))/(Datos!U16+Datos!AM16))
     ),IF(D_I="SI",(Datos!K16-Datos!U16)/Datos!U16,(Datos!K16+Datos!AE16-(Datos!U16+Datos!AM16))/(Datos!U16+Datos!AM16))," - ")</f>
        <v>3.9255158530447913E-2</v>
      </c>
      <c r="G16" s="394">
        <f>IF(ISNUMBER(
   IF(D_I="SI",(Datos!L16-Datos!V16)/Datos!V16,(Datos!L16+Datos!AF16-(Datos!V16+Datos!AN16))/(Datos!V16+Datos!AN16))
     ),IF(D_I="SI",(Datos!L16-Datos!V16)/Datos!V16,(Datos!L16+Datos!AF16-(Datos!V16+Datos!AN16))/(Datos!V16+Datos!AN16))," - ")</f>
        <v>-0.23331494760066188</v>
      </c>
      <c r="H16" s="244">
        <f>IF(ISNUMBER((Datos!M16-Datos!W16)/Datos!W16),(Datos!M16-Datos!W16)/Datos!W16," - ")</f>
        <v>-5.3191489361702126E-3</v>
      </c>
      <c r="I16" s="395">
        <f>IF(ISNUMBER((Tasas!C16-Datos!BE16)/Datos!BE16),(Tasas!C16-Datos!BE16)/Datos!BE16," - ")</f>
        <v>-0.26227447984625429</v>
      </c>
      <c r="J16" s="394">
        <f>IF(ISNUMBER((Tasas!D16-Datos!BF16)/Datos!BF16),(Tasas!D16-Datos!BF16)/Datos!BF16," - ")</f>
        <v>-4.2890629024779837E-2</v>
      </c>
      <c r="K16" s="396">
        <f>IF(ISNUMBER((Tasas!E16-Datos!BG16)/Datos!BG16),(Tasas!E16-Datos!BG16)/Datos!BG16," - ")</f>
        <v>-0.1289788049527788</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-0.11375661375661375</v>
      </c>
      <c r="E18" s="393">
        <f>IF(ISNUMBER(
   IF(D_I="SI",(Datos!J18-Datos!T18)/Datos!T18,(Datos!J18+Datos!AD18-(Datos!T18+Datos!AL18))/(Datos!T18+Datos!AL18))
     ),IF(D_I="SI",(Datos!J18-Datos!T18)/Datos!T18,(Datos!J18+Datos!AD18-(Datos!T18+Datos!AL18))/(Datos!T18+Datos!AL18))," - ")</f>
        <v>0.22357723577235772</v>
      </c>
      <c r="F18" s="393">
        <f>IF(ISNUMBER(
   IF(D_I="SI",(Datos!K18-Datos!U18)/Datos!U18,(Datos!K18+Datos!AE18-(Datos!U18+Datos!AM18))/(Datos!U18+Datos!AM18))
     ),IF(D_I="SI",(Datos!K18-Datos!U18)/Datos!U18,(Datos!K18+Datos!AE18-(Datos!U18+Datos!AM18))/(Datos!U18+Datos!AM18))," - ")</f>
        <v>7.1207430340557279E-2</v>
      </c>
      <c r="G18" s="394">
        <f>IF(ISNUMBER(
   IF(D_I="SI",(Datos!L18-Datos!V18)/Datos!V18,(Datos!L18+Datos!AF18-(Datos!V18+Datos!AN18))/(Datos!V18+Datos!AN18))
     ),IF(D_I="SI",(Datos!L18-Datos!V18)/Datos!V18,(Datos!L18+Datos!AF18-(Datos!V18+Datos!AN18))/(Datos!V18+Datos!AN18))," - ")</f>
        <v>-3.6544850498338874E-2</v>
      </c>
      <c r="H18" s="244">
        <f>IF(ISNUMBER((Datos!M18-Datos!W18)/Datos!W18),(Datos!M18-Datos!W18)/Datos!W18," - ")</f>
        <v>0.1875</v>
      </c>
      <c r="I18" s="395">
        <f>IF(ISNUMBER((Tasas!C18-Datos!BE18)/Datos!BE18),(Tasas!C18-Datos!BE18)/Datos!BE18," - ")</f>
        <v>-0.1005895569681025</v>
      </c>
      <c r="J18" s="394">
        <f>IF(ISNUMBER((Tasas!D18-Datos!BF18)/Datos!BF18),(Tasas!D18-Datos!BF18)/Datos!BF18," - ")</f>
        <v>0.10856213872832374</v>
      </c>
      <c r="K18" s="396">
        <f>IF(ISNUMBER((Tasas!E18-Datos!BG18)/Datos!BG18),(Tasas!E18-Datos!BG18)/Datos!BG18," - ")</f>
        <v>-4.8521565140062256E-2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-0.29784824462061155</v>
      </c>
      <c r="E23" s="399">
        <f>IF(ISNUMBER(
   IF(D_I="SI",(Datos!J23-Datos!T23)/Datos!T23,(Datos!J23+Datos!AD23-(Datos!T23+Datos!AL23))/(Datos!T23+Datos!AL23))
     ),IF(D_I="SI",(Datos!J23-Datos!T23)/Datos!T23,(Datos!J23+Datos!AD23-(Datos!T23+Datos!AL23))/(Datos!T23+Datos!AL23))," - ")</f>
        <v>0.24873096446700507</v>
      </c>
      <c r="F23" s="399">
        <f>IF(ISNUMBER(
   IF(D_I="SI",(Datos!K23-Datos!U23)/Datos!U23,(Datos!K23+Datos!AE23-(Datos!U23+Datos!AM23))/(Datos!U23+Datos!AM23))
     ),IF(D_I="SI",(Datos!K23-Datos!U23)/Datos!U23,(Datos!K23+Datos!AE23-(Datos!U23+Datos!AM23))/(Datos!U23+Datos!AM23))," - ")</f>
        <v>4.3722943722943726E-2</v>
      </c>
      <c r="G23" s="400">
        <f>IF(ISNUMBER(
   IF(D_I="SI",(Datos!L23-Datos!V23)/Datos!V23,(Datos!L23+Datos!AF23-(Datos!V23+Datos!AN23))/(Datos!V23+Datos!AN23))
     ),IF(D_I="SI",(Datos!L23-Datos!V23)/Datos!V23,(Datos!L23+Datos!AF23-(Datos!V23+Datos!AN23))/(Datos!V23+Datos!AN23))," - ")</f>
        <v>-0.20529801324503311</v>
      </c>
      <c r="H23" s="401">
        <f>IF(ISNUMBER((Datos!M23-Datos!W23)/Datos!W23),(Datos!M23-Datos!W23)/Datos!W23," - ")</f>
        <v>3.3898305084745763E-2</v>
      </c>
      <c r="I23" s="402">
        <f>IF(ISNUMBER((Tasas!C23-Datos!BE23)/Datos!BE23),(Tasas!C23-Datos!BE23)/Datos!BE23," - ")</f>
        <v>-0.23858913753464395</v>
      </c>
      <c r="J23" s="400">
        <f>IF(ISNUMBER((Tasas!D23-Datos!BF23)/Datos!BF23),(Tasas!D23-Datos!BF23)/Datos!BF23," - ")</f>
        <v>-9.4130714451420034E-3</v>
      </c>
      <c r="K23" s="403">
        <f>IF(ISNUMBER((Tasas!E23-Datos!BG23)/Datos!BG23),(Tasas!E23-Datos!BG23)/Datos!BG23," - ")</f>
        <v>-0.11729201359440877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-5.3794602427096543E-2</v>
      </c>
      <c r="E31" s="409">
        <f>IF(ISNUMBER(
   IF(J_V="SI",(Datos!J31-Datos!T31)/Datos!T31,(Datos!J31+Datos!Z31-(Datos!T31+Datos!AH31))/(Datos!T31+Datos!AH31))
     ),IF(J_V="SI",(Datos!J31-Datos!T31)/Datos!T31,(Datos!J31+Datos!Z31-(Datos!T31+Datos!AH31))/(Datos!T31+Datos!AH31))," - ")</f>
        <v>0.13849347568208778</v>
      </c>
      <c r="F31" s="409">
        <f>IF(ISNUMBER(
   IF(J_V="SI",(Datos!K31-Datos!U31)/Datos!U31,(Datos!K31+Datos!AA31-(Datos!U31+Datos!AI31))/(Datos!U31+Datos!AI31))
     ),IF(J_V="SI",(Datos!K31-Datos!U31)/Datos!U31,(Datos!K31+Datos!AA31-(Datos!U31+Datos!AI31))/(Datos!U31+Datos!AI31))," - ")</f>
        <v>1.9892884468247895E-2</v>
      </c>
      <c r="G31" s="410">
        <f>IF(ISNUMBER(
   IF(J_V="SI",(Datos!L31-Datos!V31)/Datos!V31,(Datos!L31+Datos!AB31-(Datos!V31+Datos!AJ31))/(Datos!V31+Datos!AJ31))
     ),IF(J_V="SI",(Datos!L31-Datos!V31)/Datos!V31,(Datos!L31+Datos!AB31-(Datos!V31+Datos!AJ31))/(Datos!V31+Datos!AJ31))," - ")</f>
        <v>2.2951479766458626E-2</v>
      </c>
      <c r="H31" s="411">
        <f>IF(ISNUMBER((Datos!M31-Datos!W31)/Datos!W31),(Datos!M31-Datos!W31)/Datos!W31," - ")</f>
        <v>0.1537190082644628</v>
      </c>
      <c r="I31" s="408">
        <f>IF(ISNUMBER((Tasas!C31-Datos!BE31)/Datos!BE31),(Tasas!C31-Datos!BE31)/Datos!BE31," - ")</f>
        <v>2.9989377755150069E-3</v>
      </c>
      <c r="J31" s="409">
        <f>IF(ISNUMBER((Tasas!D31-Datos!BF31)/Datos!BF31),(Tasas!D31-Datos!BF31)/Datos!BF31," - ")</f>
        <v>-0.10887292135533874</v>
      </c>
      <c r="K31" s="410">
        <f>IF(ISNUMBER((Tasas!E31-Datos!BG31)/Datos!BG31),(Tasas!E31-Datos!BG31)/Datos!BG31," - ")</f>
        <v>-7.615757532097125E-4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0.26335631183011776</v>
      </c>
      <c r="E33" s="303">
        <f t="shared" si="1"/>
        <v>9.7403292732615096E-2</v>
      </c>
      <c r="F33" s="303">
        <f t="shared" si="1"/>
        <v>0.26634402552142178</v>
      </c>
      <c r="G33" s="304">
        <f t="shared" si="1"/>
        <v>0.22082450468535245</v>
      </c>
      <c r="H33" s="310">
        <f t="shared" si="1"/>
        <v>0.1161896887046361</v>
      </c>
      <c r="I33" s="302">
        <f t="shared" si="1"/>
        <v>0.22217107671834602</v>
      </c>
      <c r="J33" s="303">
        <f t="shared" si="1"/>
        <v>0.16074700850987611</v>
      </c>
      <c r="K33" s="304">
        <f t="shared" si="1"/>
        <v>0.13937710586755539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2wrAjnJHFemg87TOQHGvzcsJFWkqlr/6fQ9uBOgY8c+PYVlakv5nFygQfZr+N/zyOb1h+EjUbSbDLXywjzjNw==" saltValue="22DEZ7YDSD8gJKjf0EXc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